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96" activeTab="4"/>
  </bookViews>
  <sheets>
    <sheet name="ESTABILIDAD LIQUIDACIÓN 2017" sheetId="1" r:id="rId1"/>
    <sheet name="ESTABILIDAD PPTARIA 3T 2018" sheetId="2" r:id="rId2"/>
    <sheet name="ESTABILIDAD PPTARIA 3T 2019" sheetId="3" r:id="rId3"/>
    <sheet name="AJUSTES" sheetId="4" r:id="rId4"/>
    <sheet name="ESTABILIDAD PRESUPUESTARIA 2020" sheetId="5" r:id="rId5"/>
    <sheet name="gasto computable" sheetId="6" r:id="rId6"/>
    <sheet name="cap 6" sheetId="7" r:id="rId7"/>
    <sheet name="cap 2" sheetId="8" r:id="rId8"/>
    <sheet name="cap 4" sheetId="9" r:id="rId9"/>
    <sheet name="cap 1" sheetId="10" r:id="rId10"/>
    <sheet name="REGLA DE GASTO" sheetId="11" r:id="rId11"/>
    <sheet name="reunión consejo de ministros an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'cap 6'!$A$1:$I$1</definedName>
  </definedNames>
  <calcPr fullCalcOnLoad="1"/>
</workbook>
</file>

<file path=xl/sharedStrings.xml><?xml version="1.0" encoding="utf-8"?>
<sst xmlns="http://schemas.openxmlformats.org/spreadsheetml/2006/main" count="1037" uniqueCount="516">
  <si>
    <t>INGRESOS</t>
  </si>
  <si>
    <t>TOTAL</t>
  </si>
  <si>
    <t xml:space="preserve">AYUNTAMIENTO </t>
  </si>
  <si>
    <t>CAPÍTULO 1</t>
  </si>
  <si>
    <t>Gastos en personal</t>
  </si>
  <si>
    <t>CAPÍTULO 2</t>
  </si>
  <si>
    <t>Gastos en bienes corrientes y servicios</t>
  </si>
  <si>
    <t>CAPÍTULO 3</t>
  </si>
  <si>
    <t>Gastos financieros</t>
  </si>
  <si>
    <t>CAPÍTULO 4</t>
  </si>
  <si>
    <t>Transferencias corrientes</t>
  </si>
  <si>
    <t>CAPÍTULO 5</t>
  </si>
  <si>
    <t>OPERACIONES CORRIENTES</t>
  </si>
  <si>
    <t>CAPÍTULO 6</t>
  </si>
  <si>
    <t>Inversiones reales</t>
  </si>
  <si>
    <t>CAPÍTULO 7</t>
  </si>
  <si>
    <t>Transferencias de capital</t>
  </si>
  <si>
    <t>OPERACIONES DE CAPITAL</t>
  </si>
  <si>
    <t>Trasnferencias corrientes</t>
  </si>
  <si>
    <t>Ingresos patrimoniales</t>
  </si>
  <si>
    <t>Enajenación de inversiones reales</t>
  </si>
  <si>
    <t>ESTABILIDAD PRESUPUESTARIA SIN AJUSTAR</t>
  </si>
  <si>
    <t>ESTABILIDAD PRESUPUESTARIA AJUSTADA</t>
  </si>
  <si>
    <t xml:space="preserve">GASTOS </t>
  </si>
  <si>
    <t>+</t>
  </si>
  <si>
    <t xml:space="preserve">(Capítulo 1) Gastos de personal </t>
  </si>
  <si>
    <t xml:space="preserve">(Capítulo 2) Compra de bienes y servicios </t>
  </si>
  <si>
    <t>-</t>
  </si>
  <si>
    <t xml:space="preserve">(Capitulo 3) Gastos financieros </t>
  </si>
  <si>
    <t xml:space="preserve">Intereses de la deuda computados en capítulo 3 de gastos financieros </t>
  </si>
  <si>
    <t>(Capítulo 4) Transferencias corrientes</t>
  </si>
  <si>
    <t>(Capítulo 6) Inversiones</t>
  </si>
  <si>
    <t>Ajuste por enajenación de terrenos y demás inversiones reales</t>
  </si>
  <si>
    <t>(Capítulo 7) Transferencias de capital</t>
  </si>
  <si>
    <t>Gastos financiados con fondos finalistas</t>
  </si>
  <si>
    <t>Transferencias a OOAA dependientes</t>
  </si>
  <si>
    <t>Importe tasa referencia</t>
  </si>
  <si>
    <t>EXCESO / MARGEN</t>
  </si>
  <si>
    <t>CAP 4</t>
  </si>
  <si>
    <t>AYUNTAMIENTO</t>
  </si>
  <si>
    <t>Cap 1</t>
  </si>
  <si>
    <t>Cap 2</t>
  </si>
  <si>
    <t>Cap 4</t>
  </si>
  <si>
    <t>CAP 1</t>
  </si>
  <si>
    <t>Cap 3 (menos media ingresos 3 últimos años)</t>
  </si>
  <si>
    <t>Cap 1 (más media 3 últimos años)</t>
  </si>
  <si>
    <t>Cap 2 (más media 3 últimos años)</t>
  </si>
  <si>
    <t>Cap 3 (más media 3 últimos años)</t>
  </si>
  <si>
    <t>MEDIA</t>
  </si>
  <si>
    <t>Cap 1 (menos media ingresos 3 últimos años)</t>
  </si>
  <si>
    <t>Cap 2 (menos media ingresos 3 últimos años)</t>
  </si>
  <si>
    <t>CAP 2</t>
  </si>
  <si>
    <t>GASTOS CONSOLIDADOS</t>
  </si>
  <si>
    <t>TOTAL AJUSTES</t>
  </si>
  <si>
    <t xml:space="preserve">Tasa de referencia de crecimiento del PIB  </t>
  </si>
  <si>
    <t>TOTAL GASTO COMPUTABLE</t>
  </si>
  <si>
    <t>% EJEC AYTO</t>
  </si>
  <si>
    <t>Cap 6</t>
  </si>
  <si>
    <t>CAJA DE INGRESOS CORRIENTES</t>
  </si>
  <si>
    <t>CAP 3</t>
  </si>
  <si>
    <t>CAJA INGRESOS CERRADOS</t>
  </si>
  <si>
    <t>INEJECUCIÓN GASTOS</t>
  </si>
  <si>
    <t>TOTAL CAP 1-7 SIN AJUSTES</t>
  </si>
  <si>
    <t>Gasto computable año N</t>
  </si>
  <si>
    <t>Gasto computable año N+1</t>
  </si>
  <si>
    <t>DATOS CONSOLIDADOS</t>
  </si>
  <si>
    <t>AYTO</t>
  </si>
  <si>
    <t>(Capítulo 5) Fondo de contingencia</t>
  </si>
  <si>
    <t>INGRESOS DERECHOS RECONOCIDOS A 31/12</t>
  </si>
  <si>
    <t>INICIALES AYTO</t>
  </si>
  <si>
    <t>DEFI AYTO</t>
  </si>
  <si>
    <t xml:space="preserve">Impuestos directos </t>
  </si>
  <si>
    <t xml:space="preserve">Impuestos indirectos </t>
  </si>
  <si>
    <t xml:space="preserve">Tasas y otros ingresos </t>
  </si>
  <si>
    <t>GASTOS OBLIGACIONES RECONOCIDAS ESTIMADAS A 31/12</t>
  </si>
  <si>
    <t>AJUSTE INEJECUCIÓN GASTOS +</t>
  </si>
  <si>
    <t xml:space="preserve">DEVENGO DE INTERESES </t>
  </si>
  <si>
    <t>Intereses vencidos año en curso pero no devengados</t>
  </si>
  <si>
    <t xml:space="preserve">Intereses devengado año en curso no vencidos </t>
  </si>
  <si>
    <t>LEASING FINANCIERO (OPCION DE COMPRA)</t>
  </si>
  <si>
    <t>Valor total del activo firma contrato (+gasto)</t>
  </si>
  <si>
    <t>Importes imputados a presupuesto (-gasto)</t>
  </si>
  <si>
    <t>AJUSTES CUENTA (413)</t>
  </si>
  <si>
    <t>PRINCIPIO DE CAJA CAP 1A 3</t>
  </si>
  <si>
    <t>RECAUDACIÓN EJERCICIOS CERRADOS</t>
  </si>
  <si>
    <t xml:space="preserve">PIE </t>
  </si>
  <si>
    <t>SUBVENCIONES ENTE CONCEDENTE</t>
  </si>
  <si>
    <t>Ejecución</t>
  </si>
  <si>
    <t>Inejecución</t>
  </si>
  <si>
    <t>% INEJEC</t>
  </si>
  <si>
    <t>CÁLCULO DEL GASTO COMPUTABLE CONSOLIDADO SEGÚN OOVVEELL</t>
  </si>
  <si>
    <t>Ajustes SEC en gastos (inejecución, )</t>
  </si>
  <si>
    <t>Arrendamiento financiero</t>
  </si>
  <si>
    <t>AJUSTES SOBRE GASTO COMPUTABLE</t>
  </si>
  <si>
    <t>Ajuste por IFS</t>
  </si>
  <si>
    <t>TOTAL GASTOCOMPUTABLE AJUSTADO</t>
  </si>
  <si>
    <t>TOTAL GASTO COMPUTABLE AJUSTADO TRASFERENCIA</t>
  </si>
  <si>
    <t xml:space="preserve">TOTAL GASTO COMPUTABLE ESTIMADO </t>
  </si>
  <si>
    <t>Gasto computable a considerar(si se incumplió el año anterior)</t>
  </si>
  <si>
    <t>Gasto computable máximo N+1</t>
  </si>
  <si>
    <t>,-/+</t>
  </si>
  <si>
    <t>Ajuste por cambios normativos variaciones recaudación. Art. 12.4</t>
  </si>
  <si>
    <t>GASTO COMPUTABLE MÁXIMO N+1 AJUSTADO</t>
  </si>
  <si>
    <t>% EJECUCIÓN</t>
  </si>
  <si>
    <t>Cap3</t>
  </si>
  <si>
    <t>MC</t>
  </si>
  <si>
    <t>%</t>
  </si>
  <si>
    <t>MC (IRC DDFF; 413; 411)</t>
  </si>
  <si>
    <t>CAP</t>
  </si>
  <si>
    <t>INEJEC</t>
  </si>
  <si>
    <t>EJEC</t>
  </si>
  <si>
    <t>Cap. 1</t>
  </si>
  <si>
    <t>Cap. 2</t>
  </si>
  <si>
    <t>Cap. 4</t>
  </si>
  <si>
    <t>Cap. 6</t>
  </si>
  <si>
    <t>media ultimos 5 años</t>
  </si>
  <si>
    <t>PIE 2008 en 2017</t>
  </si>
  <si>
    <t>PIE 2009 en 2017</t>
  </si>
  <si>
    <t>PIE 2013 en 2017</t>
  </si>
  <si>
    <t>Ajustes positivos (mas gasto 2017) 413</t>
  </si>
  <si>
    <t>Ajustes negativos (menos gasto 2017, es gasto 2016) 413</t>
  </si>
  <si>
    <t>INVERSIONES MEDIANTE ABONO TOTAL DEL PRECIO</t>
  </si>
  <si>
    <t>INVERSIONES REALIZADAS POR CUENTA DE CORPORACIONES LOCALES</t>
  </si>
  <si>
    <t>CONSOLIDACIÓN DE TRANSFERENCIAS ENTRE AAPP</t>
  </si>
  <si>
    <t>VENTA DE ACCIONES</t>
  </si>
  <si>
    <t>INGRESOS DE LA UNION EUROPEA</t>
  </si>
  <si>
    <t>OPERACIONES DE PERMUTA FINANCIERA (SWAPS)</t>
  </si>
  <si>
    <t>EJECUCIÓN Y REINTEGRO DE AVALES (Criteriode contabilización no presupuestaria)</t>
  </si>
  <si>
    <t>APORTACIONES DE CAPITAL A EMPRESAS PÚBLICAS</t>
  </si>
  <si>
    <t>ASUNCIÓN Y CANCELACIÓN DE DEUDAS DE EMPRESAS PÚBLICAS</t>
  </si>
  <si>
    <t>OPERACIONES DE CENSOS</t>
  </si>
  <si>
    <t>AJUSTES</t>
  </si>
  <si>
    <t>DIVIDENDOS (Criterio de caja)</t>
  </si>
  <si>
    <t>Ajuste (413) AOPAP/ (555)/(411)</t>
  </si>
  <si>
    <t>Cap 3</t>
  </si>
  <si>
    <t>CAP 6</t>
  </si>
  <si>
    <t>INICIAL</t>
  </si>
  <si>
    <t>LIQUIDACIÓN</t>
  </si>
  <si>
    <t>Cap 5</t>
  </si>
  <si>
    <t>Fondo de contingencia</t>
  </si>
  <si>
    <t>Ajustes positivos (mas gasto 2018) 413</t>
  </si>
  <si>
    <t>Ajustes negativos (menos gasto 2018, es gasto 2017) 413</t>
  </si>
  <si>
    <t>Entidades locales</t>
  </si>
  <si>
    <t>CAPACIDAD DE FINANCIACIÓN (ESTABILIDAD)</t>
  </si>
  <si>
    <t>DEUDA PUBLICA</t>
  </si>
  <si>
    <t>REGLA DE GASTO</t>
  </si>
  <si>
    <t>ACUERDO CONSEJO DE MINISTROS 07/07/2017</t>
  </si>
  <si>
    <t>Gastos financiados PIR</t>
  </si>
  <si>
    <t>Ejec</t>
  </si>
  <si>
    <t>inejec</t>
  </si>
  <si>
    <t>MEDIA 3 años</t>
  </si>
  <si>
    <t>CAP 5</t>
  </si>
  <si>
    <t>ESTABILIDAD PRESUPUESTARIA ESTIMADA</t>
  </si>
  <si>
    <t>PIR</t>
  </si>
  <si>
    <t>ESTABILIDAD PRESUPUESTARIA ESTIMADA LIQUIDACIÓN 2017</t>
  </si>
  <si>
    <t>TECHO DE GASTO AÑO SIGUIENTE</t>
  </si>
  <si>
    <t>AJUSTES PRACTICADOS</t>
  </si>
  <si>
    <t>Cap 1 (media 3 años)</t>
  </si>
  <si>
    <t>Cap 2 (media 3 años)</t>
  </si>
  <si>
    <t>Cap 3 (media 3 años)</t>
  </si>
  <si>
    <t>Cap 4 (media 3 años)</t>
  </si>
  <si>
    <t>con  rpt 1/9</t>
  </si>
  <si>
    <t>IFS que no se van a acometer</t>
  </si>
  <si>
    <t>Ajustes positivos (mas gasto 2019) 413</t>
  </si>
  <si>
    <t>Ajustes negativos (menos gasto 2019, es gasto 2018) 413</t>
  </si>
  <si>
    <t xml:space="preserve">Cap 2 </t>
  </si>
  <si>
    <t>ESTABILIDAD PRESUPUESTARIA INICIAL ESTIMADA PARA 2020</t>
  </si>
  <si>
    <t>GASTO COMPUTABLE  ESTIMADO</t>
  </si>
  <si>
    <t>CAP 1 A 7 EN TÉRMINOS SEC 95</t>
  </si>
  <si>
    <t>CAP 7</t>
  </si>
  <si>
    <t>&lt;INEJECUCIÓN&gt;</t>
  </si>
  <si>
    <t>Inejecución cap 1</t>
  </si>
  <si>
    <t>Inejecución cap 2</t>
  </si>
  <si>
    <t>Inejecución cap 4</t>
  </si>
  <si>
    <t>Inejecución cap 5</t>
  </si>
  <si>
    <t>Inejecución cap 6</t>
  </si>
  <si>
    <t>% medias ultimos 3 años</t>
  </si>
  <si>
    <t>&lt;INTERESES FINANCIEROS CAP 3 (*)&gt;</t>
  </si>
  <si>
    <t>Total capítulo 3</t>
  </si>
  <si>
    <t>&lt;AJUSTE OPAP (413)&gt;</t>
  </si>
  <si>
    <t>S(413) Positivo, mayor gasto en n, imputado ppto n+1</t>
  </si>
  <si>
    <t>S(413) Negativo, menor gasto en n, gasto devengado n-1</t>
  </si>
  <si>
    <t>&lt;ARRENDAMIENTOS FINANCIEROS&gt;</t>
  </si>
  <si>
    <t>Valor total del activo a la firma del contrato</t>
  </si>
  <si>
    <t>Imputaciones a presupuesto</t>
  </si>
  <si>
    <t>&lt;TRANSFERENCIAS INTERNAS ENTRE ENTES DEL GRUPO LOCAL&gt;</t>
  </si>
  <si>
    <t>Obligaciones reconocidas previstas OOAA **</t>
  </si>
  <si>
    <t>&lt;GASTOS FINANCIADOS CON FONDOS FINALISTAS&gt;</t>
  </si>
  <si>
    <t>BESCAM</t>
  </si>
  <si>
    <t>BESCAM VESTUARIO</t>
  </si>
  <si>
    <t>ESCUELA INFANTIL</t>
  </si>
  <si>
    <t>SUBVENCIÓN PROMOCION FERIAL FIASGU</t>
  </si>
  <si>
    <t>COLABORACIÓN SOCIAL 1</t>
  </si>
  <si>
    <t>COLABORACIÓN SOCIAL 2</t>
  </si>
  <si>
    <t>PROGRAMAS PROFESIONANLES 2015/2016 CAP 1</t>
  </si>
  <si>
    <t>PROGRAMAS PROFESIONANLES 2015/2016 CAP 2</t>
  </si>
  <si>
    <t>COLABORACIÓN SOCIAL 2015 FORMACIÓN</t>
  </si>
  <si>
    <t>PARADOS DE LARGA DURACIÓN 2017/2018</t>
  </si>
  <si>
    <t>PLD RECUALIFICACION PROFESIONAL DESEMPLEADOS 2016/2017</t>
  </si>
  <si>
    <t>SUBVENCIÓN ACTIVACIÓN Y REACTIVACIÓN 2019-2020</t>
  </si>
  <si>
    <t>SUBVENCIÓN FORMACIÓN PARADOS DE LARGA DURACIÓN 2019-2020</t>
  </si>
  <si>
    <t>SUBVENCIÓN MONITOR DE OCIO Y TIEMPO LIBRE</t>
  </si>
  <si>
    <t>ACTIVIDADES TAURINAS</t>
  </si>
  <si>
    <t>PROGRAMA INMIGRACIÓN</t>
  </si>
  <si>
    <t>SUBVENCIÓN PACTO VIOLENCIA DE GÉNERO</t>
  </si>
  <si>
    <t xml:space="preserve">SUBVENCIÓN FORMACIÓN PARA EL EMPLEO </t>
  </si>
  <si>
    <t xml:space="preserve">CONVENIO SEGURIDAD EN EL TRABAJO IRSST </t>
  </si>
  <si>
    <t>FEMP no es administración publica</t>
  </si>
  <si>
    <t xml:space="preserve">SUBVENCION JUZGADO DE PAZ </t>
  </si>
  <si>
    <t>SUBVENCIÓN BIBLIOTECA LIBROS</t>
  </si>
  <si>
    <t>SUBVENCION PAPELETAS Y CENSO ELECCIONES</t>
  </si>
  <si>
    <t>SUBVENCION DEPORTE INFANTIL (AÑOS ANTERIORES)</t>
  </si>
  <si>
    <t>SUBVENCIÓN GUÍA DE INFORMACIÓN TURÍSTICA</t>
  </si>
  <si>
    <t>SUBVENCIÓN DIGITALIZACIÓN ARCHIVO MUNICIPAL</t>
  </si>
  <si>
    <t>SUBVENCIÓN PRÁCTICAS DE ALUMNOS</t>
  </si>
  <si>
    <t>SUBVENCIONES PLAN LOCAL DE ABSENTISMO ESCOLAR</t>
  </si>
  <si>
    <t>Resto (capitulo 4 de ingresos)</t>
  </si>
  <si>
    <t>&lt;INVERSIONES FINANCIERAMENTE SOSTENIBLES&gt;</t>
  </si>
  <si>
    <t>Inversiones financieramente sostenibles</t>
  </si>
  <si>
    <t>TOTAL GASTOS COMPUTABLE</t>
  </si>
  <si>
    <t>capítulos</t>
  </si>
  <si>
    <t>Padrón IBI urbana sin bajada 2017</t>
  </si>
  <si>
    <t>Padrón IBI urbana con bajada 2018</t>
  </si>
  <si>
    <t>GASTO COMPUTABLE MÁXIMO SEGÚN PEF</t>
  </si>
  <si>
    <t>EXCESO /MARGEN</t>
  </si>
  <si>
    <t>LIQUIDACIÓN 2020</t>
  </si>
  <si>
    <t>INEJECUCIÓN</t>
  </si>
  <si>
    <t>Ajustes positivos (mas gasto 2020) 413</t>
  </si>
  <si>
    <t>Ajustes negativos (menos gasto 2020, es gasto 2019) 413</t>
  </si>
  <si>
    <t>Funcional</t>
  </si>
  <si>
    <t>Económica</t>
  </si>
  <si>
    <t>Denominación</t>
  </si>
  <si>
    <t>Créditos Iniciales</t>
  </si>
  <si>
    <t>Modificaciones de Crédito</t>
  </si>
  <si>
    <t>Créditos Definitivos</t>
  </si>
  <si>
    <t>Gastos Comprometidos</t>
  </si>
  <si>
    <t>Obligaciones Reconocidas</t>
  </si>
  <si>
    <t>Maquinaria, instalaciones técnicas y utillaje. Aire acondicionado. Comedor</t>
  </si>
  <si>
    <t>Gastos en aplicaciones informáticas PIR 2020</t>
  </si>
  <si>
    <t>Ordenación del tráfico y del estacionamiento. Mobiliario PIR 2020</t>
  </si>
  <si>
    <t>Mobiliario urbano. Señales de tráfico</t>
  </si>
  <si>
    <t>Inversiones en reposición. Caldera edificio Protección Civil</t>
  </si>
  <si>
    <t>Inversión reposición elementos de transporte</t>
  </si>
  <si>
    <t>Proyecto básico de obra Montencinar. Estudio económico y social</t>
  </si>
  <si>
    <t>Terrenos y bienes naturales</t>
  </si>
  <si>
    <t>Vías públicas Inversiones en reposición PIR 2020</t>
  </si>
  <si>
    <t>Inversiones en reposición. Aceras y asfaltados IFS 2019</t>
  </si>
  <si>
    <t>Edificios y otras construcciones</t>
  </si>
  <si>
    <t>Maquinaria, instalaciones técnicas y utillajes</t>
  </si>
  <si>
    <t>Elementos de transporte. Camión pluma-grúa</t>
  </si>
  <si>
    <t>Maquinaria, instalaciones técnicas y utillaje. Válvula antiretorno</t>
  </si>
  <si>
    <t>Recogida de residuos. Otras inversiones nuevas en infraestructuras y bienes destinados al uso general. IFS 2018</t>
  </si>
  <si>
    <t>Otras inversiones nuevas en infraestructuras y bienes destinados al uso general. Nave camiones IFS 2019</t>
  </si>
  <si>
    <t>Mobiliario. Contenedores de papel IFS 2019</t>
  </si>
  <si>
    <t>Limpieza viaria. Maquinaria, instalaciones técnicas y utillaje. Carritos limpieza manual</t>
  </si>
  <si>
    <t>Otras inversiones nuevas en infraestructuras y bienes destinados al uso general. Eficiencia energética IFS 2019</t>
  </si>
  <si>
    <t>Maquinaria, instalaciones técnicas y utillaje</t>
  </si>
  <si>
    <t>Mobiliario PIR 2020</t>
  </si>
  <si>
    <t>Inversiones en bienes naturales. Reposición arbolado</t>
  </si>
  <si>
    <t>Inversiones en reposición. Adecuación parque Lorenzo Fernández Panadero IFS 2019</t>
  </si>
  <si>
    <t>Reposición suelo parque infantil</t>
  </si>
  <si>
    <t>Mobiliario IFS 2019</t>
  </si>
  <si>
    <t>Mobiliario Centro de Mayores</t>
  </si>
  <si>
    <t>Mobiliario</t>
  </si>
  <si>
    <t>Equipos para procesos de información PIR 2020</t>
  </si>
  <si>
    <t>Inversión nueva. Maquinaria, instalaciones técnicas y utillaje. Equipación sonido y radioenlace</t>
  </si>
  <si>
    <t>Inversión en reposición de edificios y otras construcciones IFS 2019</t>
  </si>
  <si>
    <t>Equipos para procesos de información</t>
  </si>
  <si>
    <t>Otras inversiones nuevas asociadas al funcionamiento operativo de los servicios</t>
  </si>
  <si>
    <t>Inversiones nuevas asociadas al funcionamiento operativo de los servicio. Mobiliario</t>
  </si>
  <si>
    <t>Equipos para procesos de información. PIR 2020</t>
  </si>
  <si>
    <t>Inversiones en reposición. Caldera vestuario polideportivo IFS 2019</t>
  </si>
  <si>
    <t>Inversiones en reposición. Sustitución focos pista de padel IFS 2019</t>
  </si>
  <si>
    <t>Inversiones en reposición. Instalación depósito ACS. IFS 2019</t>
  </si>
  <si>
    <t>Inversión nueva. Maquinaria, instalaciones técnicas y utillaje</t>
  </si>
  <si>
    <t>Instalaciones deportivas..Mobiliario diverso Polideportivo IFS 2019</t>
  </si>
  <si>
    <t>Reparación edificios y construcciones PIR 2020</t>
  </si>
  <si>
    <t>Edificios y otras construcciones. Cubierta Pabellón Polideportivo IFS 2019</t>
  </si>
  <si>
    <t>Información y promoción turística.Mobiliario</t>
  </si>
  <si>
    <t>Inversiones en reposición. Punto WIFI</t>
  </si>
  <si>
    <t>Mobiliario oficinas</t>
  </si>
  <si>
    <t>Inversiones en reposición de edificios</t>
  </si>
  <si>
    <t>Inversiones de carácter inmaterial. Licencias software</t>
  </si>
  <si>
    <t>Otras inversiones en infraestructuras y bienes destinados al uso general. Participación ciudadana</t>
  </si>
  <si>
    <t>Inversiones en reposición. Calderas colegio Felipe II IFS 2019</t>
  </si>
  <si>
    <t>Inversiones en reposición. Alumbrado colegio Felipe II. IFS 2019</t>
  </si>
  <si>
    <t>Inversiones en reposición. OCA alumbrado colegio Gerardo Gil. IFS 2019</t>
  </si>
  <si>
    <t>Edificios y otras construcciones. Calefacción edificio policía local. IFS 2019</t>
  </si>
  <si>
    <t>T O T A L E S</t>
  </si>
  <si>
    <t>IFS</t>
  </si>
  <si>
    <t>TIPO</t>
  </si>
  <si>
    <t>IFS 2019</t>
  </si>
  <si>
    <t>RESTO</t>
  </si>
  <si>
    <t>YA NO IFS</t>
  </si>
  <si>
    <t>SUBVENCION PROMOCION FERIAL</t>
  </si>
  <si>
    <t>Elementos de transporte</t>
  </si>
  <si>
    <t>Limpieza viaria. Maquinaria, instalaciones técnicas y utillajes</t>
  </si>
  <si>
    <t>Mobiliario COVID 19</t>
  </si>
  <si>
    <t>A</t>
  </si>
  <si>
    <t>ANALISIS Y SEGUIMIENTO REGLA DE GASTO DEL CAPITULO 1</t>
  </si>
  <si>
    <t>CDTOS INICIALES</t>
  </si>
  <si>
    <t>MODIFICACIONES</t>
  </si>
  <si>
    <t>CDTOS DEFI</t>
  </si>
  <si>
    <t>OR</t>
  </si>
  <si>
    <t>MENOS GASTOS NO NOMINA</t>
  </si>
  <si>
    <t>seg soc dic</t>
  </si>
  <si>
    <t>IMPORTE EXTRA</t>
  </si>
  <si>
    <t>MEDIA MES</t>
  </si>
  <si>
    <t>GASTARÉ POR VENIR</t>
  </si>
  <si>
    <t>CONSUMIDO ESTIMADO SIN AJUSTAR</t>
  </si>
  <si>
    <t>AYUDA SOCIAL</t>
  </si>
  <si>
    <t>PLAN PENSIONES</t>
  </si>
  <si>
    <t>CDTO DISPONIBLE</t>
  </si>
  <si>
    <t>SUBVENCIONES CAP 1</t>
  </si>
  <si>
    <t>INCREMENTO 2018</t>
  </si>
  <si>
    <t>CONSUMIDO ESTIMADO AJUSTADO</t>
  </si>
  <si>
    <t>RESULTADO</t>
  </si>
  <si>
    <t>HISTÓRICO 2018</t>
  </si>
  <si>
    <t>HISTÓRICO 2019</t>
  </si>
  <si>
    <t>MEDIAS MES 2019</t>
  </si>
  <si>
    <t>MEDIAS MES 2018</t>
  </si>
  <si>
    <t>MEDIAS MES 2017</t>
  </si>
  <si>
    <t>MEDIAS MES 2016</t>
  </si>
  <si>
    <t>MES</t>
  </si>
  <si>
    <t>Nómina</t>
  </si>
  <si>
    <t>BESCAM media</t>
  </si>
  <si>
    <t>Seg Soc</t>
  </si>
  <si>
    <t>Nomina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</si>
  <si>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</si>
  <si>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</si>
  <si>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</si>
  <si>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</si>
  <si>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</si>
  <si>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</si>
  <si>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</si>
  <si>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</si>
  <si>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</si>
  <si>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HISTÓRICO 2017</t>
  </si>
  <si>
    <t>Octubre</t>
  </si>
  <si>
    <t>Noviembre</t>
  </si>
  <si>
    <t>Diciembre</t>
  </si>
  <si>
    <t>MEDIAS MES</t>
  </si>
  <si>
    <t>Nominas extras</t>
  </si>
  <si>
    <t>Bescam extras</t>
  </si>
  <si>
    <t>Poli extras</t>
  </si>
  <si>
    <t>TOTAL PREVISTO</t>
  </si>
  <si>
    <t>HISTÓRICO 2016</t>
  </si>
  <si>
    <t>PAGAS EXTRAS 2015</t>
  </si>
  <si>
    <t>PAGAS EXTRAS 2016</t>
  </si>
  <si>
    <t>PAGAS EXTRAS 2017</t>
  </si>
  <si>
    <t>HISTÓRICO 2015</t>
  </si>
  <si>
    <t>PAGAS EXTRAS 2018</t>
  </si>
  <si>
    <t>14/10/20105</t>
  </si>
  <si>
    <t>GASTO CAP 1 2019</t>
  </si>
  <si>
    <t>REGLA CAP 1 2019</t>
  </si>
  <si>
    <t>INCREMENTO 2019</t>
  </si>
  <si>
    <t>TECHO DE GASTO CAP 1 2020</t>
  </si>
  <si>
    <t>SUBVENCIONES CAP 1 2020</t>
  </si>
  <si>
    <t>HISTÓRICO 2020</t>
  </si>
  <si>
    <t>PAGAS EXTRAS 2020</t>
  </si>
  <si>
    <t>MEDIAS MES 2020</t>
  </si>
  <si>
    <t>TECHO DE GASTO PRACTICO 2020</t>
  </si>
  <si>
    <t>ANALISIS Y SEGUIMIENTO REGLA DE GASTO DEL CAPITULO 4</t>
  </si>
  <si>
    <t>RC no A</t>
  </si>
  <si>
    <t>AD no O</t>
  </si>
  <si>
    <t>DISPO</t>
  </si>
  <si>
    <t>RC QUE NO SE VA A USAR</t>
  </si>
  <si>
    <t>TECHO DE GASTO PRACTICO</t>
  </si>
  <si>
    <t>CONSUMIDO ESTIMADO</t>
  </si>
  <si>
    <t>ANALISIS RC´S MÁS IMPORTANTES</t>
  </si>
  <si>
    <t>DENOMINACIÓN</t>
  </si>
  <si>
    <t>PARTIDA</t>
  </si>
  <si>
    <t>IMPORTE</t>
  </si>
  <si>
    <t>RC (413) 2015 IRC</t>
  </si>
  <si>
    <t>RC MATERIAL ESCOLAR</t>
  </si>
  <si>
    <t>RC peñas</t>
  </si>
  <si>
    <t>RC premios</t>
  </si>
  <si>
    <t>RC COMEDOR SOCIAL</t>
  </si>
  <si>
    <t>RC CONSORCIO TRASNPORTES</t>
  </si>
  <si>
    <t>RC GRUPOS POLITICOS</t>
  </si>
  <si>
    <t>RC APORTACIÓN CONSORCIO ENSANCHE</t>
  </si>
  <si>
    <t>RC MANCO SERVICIOS SOCIALES</t>
  </si>
  <si>
    <t>GASTO COMPUTABLE 2019</t>
  </si>
  <si>
    <t>INCREMENTO 2020</t>
  </si>
  <si>
    <t>REGLA DE GASTO CAP 4 2019</t>
  </si>
  <si>
    <t>RC emergencia</t>
  </si>
  <si>
    <t>RC covid</t>
  </si>
  <si>
    <t>ANALISIS Y SEGUIMIENTO REGLA DE GASTO DEL CAPITULO 2</t>
  </si>
  <si>
    <t>AJUSTES RC´S Y AD´S</t>
  </si>
  <si>
    <t>S(413) AOPAP Y OTROS</t>
  </si>
  <si>
    <t>OTROS AJUSTES</t>
  </si>
  <si>
    <t>GASTO COMPUTABLE AJUSTADO</t>
  </si>
  <si>
    <t>TECHO DE GASTO CAP 2 2019</t>
  </si>
  <si>
    <t>GASTO SUBVENCIONADO 2019</t>
  </si>
  <si>
    <t>RESULTADO (techo practico-consumido estimado)</t>
  </si>
  <si>
    <t>DENO</t>
  </si>
  <si>
    <t>RC INICIAL</t>
  </si>
  <si>
    <t>O´s 2018</t>
  </si>
  <si>
    <t>Lo que va consumido</t>
  </si>
  <si>
    <t>Lo que se espera</t>
  </si>
  <si>
    <t>Lo que sobrará</t>
  </si>
  <si>
    <t>RC energia 132</t>
  </si>
  <si>
    <t>RC energía 135</t>
  </si>
  <si>
    <t>RC´s energia 165</t>
  </si>
  <si>
    <t>RC energia 231 Casa Miñana</t>
  </si>
  <si>
    <t>RC energia 320</t>
  </si>
  <si>
    <t>RC energia 330</t>
  </si>
  <si>
    <t>RC energia 3321</t>
  </si>
  <si>
    <t>quito proyección ad y rc</t>
  </si>
  <si>
    <t>tras revisar ad y rc´s</t>
  </si>
  <si>
    <t>RC prado tornero 334</t>
  </si>
  <si>
    <t>RC energia 342</t>
  </si>
  <si>
    <t>RC energia 920</t>
  </si>
  <si>
    <t>RC´s agua 171</t>
  </si>
  <si>
    <t>RC´s agua 231</t>
  </si>
  <si>
    <t>RC´s agua 320</t>
  </si>
  <si>
    <t>RC´s agua 330</t>
  </si>
  <si>
    <t>RC´s agua 334</t>
  </si>
  <si>
    <t>RC´s agua 342</t>
  </si>
  <si>
    <t>RC´s agua 920</t>
  </si>
  <si>
    <t>RC gas 132</t>
  </si>
  <si>
    <t>RC gas 231</t>
  </si>
  <si>
    <t>RC gas 320</t>
  </si>
  <si>
    <t>RC gas 330</t>
  </si>
  <si>
    <t>RC gas 3321</t>
  </si>
  <si>
    <t>RC gas 334</t>
  </si>
  <si>
    <t>RC gas 337</t>
  </si>
  <si>
    <t>RC gas 342</t>
  </si>
  <si>
    <t>RC gas 920</t>
  </si>
  <si>
    <t>AD combustible 132</t>
  </si>
  <si>
    <t>AD combustible 135</t>
  </si>
  <si>
    <t>AD combustible 1523</t>
  </si>
  <si>
    <t>AD combustible 1621</t>
  </si>
  <si>
    <t>AD combustible 163</t>
  </si>
  <si>
    <t>AD combustible 171</t>
  </si>
  <si>
    <t>AD combustible 320</t>
  </si>
  <si>
    <t>AD combustible 330</t>
  </si>
  <si>
    <t>AD combustible 3321</t>
  </si>
  <si>
    <t>AD combustible 342</t>
  </si>
  <si>
    <t>AD combustible 920</t>
  </si>
  <si>
    <t>AD´s Musicvox</t>
  </si>
  <si>
    <t>AD limpesco</t>
  </si>
  <si>
    <t>AD triangulo</t>
  </si>
  <si>
    <t>AD tierra y paisajismo</t>
  </si>
  <si>
    <t>AD club ciclista</t>
  </si>
  <si>
    <t>AD citelum</t>
  </si>
  <si>
    <t>AD vaquema</t>
  </si>
  <si>
    <t>AD aramark</t>
  </si>
  <si>
    <t>AD bansabadell</t>
  </si>
  <si>
    <t>AD BBVA</t>
  </si>
  <si>
    <t>AD psicoeducativos</t>
  </si>
  <si>
    <t>AD Catering avila</t>
  </si>
  <si>
    <t>AD ANIMAS</t>
  </si>
  <si>
    <t>AD GE escuelas</t>
  </si>
  <si>
    <t>AD CITELUM calderas</t>
  </si>
  <si>
    <t>AD QUASAR</t>
  </si>
  <si>
    <t>AD add4u pliegos</t>
  </si>
  <si>
    <t>AD CGI multas</t>
  </si>
  <si>
    <t>AD HARVYE</t>
  </si>
  <si>
    <t>AD METEOGRID</t>
  </si>
  <si>
    <t>AD EULEN</t>
  </si>
  <si>
    <t xml:space="preserve">AD UNIGES </t>
  </si>
  <si>
    <t>AD EDUCADOg</t>
  </si>
  <si>
    <t>AD baches</t>
  </si>
  <si>
    <t>AD jabalíes</t>
  </si>
  <si>
    <t>AD galileo</t>
  </si>
  <si>
    <t>AD GESTDOC</t>
  </si>
  <si>
    <t>AD Naturgy</t>
  </si>
  <si>
    <t>AD técnicos (12100*3)</t>
  </si>
  <si>
    <t>AD ITV</t>
  </si>
  <si>
    <t>Ad infaplic</t>
  </si>
  <si>
    <t>AD ascentor la dehesa</t>
  </si>
  <si>
    <t>Ad obra reparación suelo la dehesa</t>
  </si>
  <si>
    <t>rc rec junio</t>
  </si>
  <si>
    <t>RC tarjetas platino</t>
  </si>
  <si>
    <t>RC turismo</t>
  </si>
  <si>
    <t>RC Montencinar</t>
  </si>
  <si>
    <t>RC priemros cole</t>
  </si>
  <si>
    <t>AD Pablo Fraile</t>
  </si>
  <si>
    <t>RC Fiasgu</t>
  </si>
  <si>
    <t>RC formación empleo</t>
  </si>
  <si>
    <t>RC limpieza los arroyos navalquejigo</t>
  </si>
  <si>
    <t>AD RPT</t>
  </si>
  <si>
    <t>RC PLD</t>
  </si>
  <si>
    <t>RC FRAS TELEFONICAS</t>
  </si>
  <si>
    <t>RC JOB</t>
  </si>
  <si>
    <t>RC (413) 2016 IRC</t>
  </si>
  <si>
    <t>RC programa inserción laboral P. larga duración</t>
  </si>
  <si>
    <t>GASTO SUBVENCIONADO 2020</t>
  </si>
  <si>
    <t>GASTO CAP 2 2019</t>
  </si>
  <si>
    <t>No se gastarán</t>
  </si>
  <si>
    <t>AD fiasgu</t>
  </si>
  <si>
    <t>AD caseta navidad</t>
  </si>
  <si>
    <t>AD cesjpa</t>
  </si>
  <si>
    <t>AD fitness</t>
  </si>
  <si>
    <t>09/12/202</t>
  </si>
  <si>
    <t>IRC</t>
  </si>
  <si>
    <t>FIN</t>
  </si>
  <si>
    <t>EXPTE</t>
  </si>
  <si>
    <t>NADA</t>
  </si>
  <si>
    <t>2/2020-0882</t>
  </si>
  <si>
    <t>2/2020-1030</t>
  </si>
  <si>
    <t>NUEVO PPTO</t>
  </si>
  <si>
    <t>NO IRC</t>
  </si>
  <si>
    <t>2/2020-1632</t>
  </si>
  <si>
    <t>Equipamientos culturales y museos.Edificios y otras construcciones. Centro Cultural</t>
  </si>
  <si>
    <t>Equipamientos culturales y museos.Edificios y otras construcciones. Centro Polivalente Los Arroyos</t>
  </si>
  <si>
    <t>Inversiones en reposición</t>
  </si>
  <si>
    <t>IRC?</t>
  </si>
  <si>
    <t>2/2020-1816</t>
  </si>
  <si>
    <t>2/2020-1945</t>
  </si>
  <si>
    <t>DDFF e IRC 2020</t>
  </si>
  <si>
    <t>SUBVENCIÓN ACTIVACIÓN Y REACTIVACIÓN 2020-2021</t>
  </si>
  <si>
    <t>SUBVENCION COMEDOR PERIODO NO LECTIVO</t>
  </si>
  <si>
    <t>SUBVENCIÓN REFUERZO LIMPIEZA CENTROS EDUC</t>
  </si>
  <si>
    <t xml:space="preserve">SUBVENCIÓN PIR INVERSIONES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</si>
</sst>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_-* #,##0.00\ [$€-C0A]_-;\-* #,##0.00\ [$€-C0A]_-;_-* &quot;-&quot;??\ [$€-C0A]_-;_-@_-"/>
    <numFmt numFmtId="175" formatCode="0.000%"/>
    <numFmt numFmtId="176" formatCode="#,##0.00\ &quot;€&quot;"/>
    <numFmt numFmtId="177" formatCode="#,##0.00\ _€"/>
    <numFmt numFmtId="178" formatCode="0.0%"/>
    <numFmt numFmtId="179" formatCode="0.00000"/>
    <numFmt numFmtId="180" formatCode="0.000000"/>
    <numFmt numFmtId="181" formatCode="0.0000"/>
    <numFmt numFmtId="182" formatCode="0.000"/>
    <numFmt numFmtId="183" formatCode="_-* #,##0.000\ &quot;Pts&quot;_-;\-* #,##0.000\ &quot;Pts&quot;_-;_-* &quot;-&quot;??\ &quot;Pts&quot;_-;_-@_-"/>
    <numFmt numFmtId="184" formatCode="#,##0.00_ ;[Red]\-#,##0.0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.##000\ _€"/>
  </numFmts>
  <fonts count="8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4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6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2"/>
      <name val="Times New Roman"/>
      <family val="1"/>
    </font>
    <font>
      <i/>
      <sz val="8"/>
      <color indexed="10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b/>
      <u val="single"/>
      <sz val="12"/>
      <color indexed="10"/>
      <name val="Times New Roman"/>
      <family val="1"/>
    </font>
    <font>
      <i/>
      <sz val="8"/>
      <color indexed="17"/>
      <name val="Times New Roman"/>
      <family val="1"/>
    </font>
    <font>
      <sz val="8"/>
      <color indexed="8"/>
      <name val="Calibri"/>
      <family val="2"/>
    </font>
    <font>
      <i/>
      <sz val="8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B050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i/>
      <sz val="8"/>
      <color theme="3"/>
      <name val="Times New Roman"/>
      <family val="1"/>
    </font>
    <font>
      <b/>
      <sz val="8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1" fillId="30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176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176" fontId="7" fillId="32" borderId="11" xfId="0" applyNumberFormat="1" applyFont="1" applyFill="1" applyBorder="1" applyAlignment="1" applyProtection="1">
      <alignment horizontal="right" vertical="center"/>
      <protection locked="0"/>
    </xf>
    <xf numFmtId="176" fontId="7" fillId="32" borderId="12" xfId="0" applyNumberFormat="1" applyFont="1" applyFill="1" applyBorder="1" applyAlignment="1" applyProtection="1">
      <alignment horizontal="right" vertical="center"/>
      <protection locked="0"/>
    </xf>
    <xf numFmtId="176" fontId="7" fillId="32" borderId="13" xfId="0" applyNumberFormat="1" applyFont="1" applyFill="1" applyBorder="1" applyAlignment="1" applyProtection="1">
      <alignment horizontal="right" vertical="center"/>
      <protection locked="0"/>
    </xf>
    <xf numFmtId="176" fontId="7" fillId="32" borderId="14" xfId="0" applyNumberFormat="1" applyFont="1" applyFill="1" applyBorder="1" applyAlignment="1" applyProtection="1">
      <alignment horizontal="center" vertical="center"/>
      <protection locked="0"/>
    </xf>
    <xf numFmtId="176" fontId="7" fillId="3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76" fontId="3" fillId="33" borderId="18" xfId="5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176" fontId="2" fillId="34" borderId="20" xfId="50" applyNumberFormat="1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horizontal="right" vertical="center"/>
    </xf>
    <xf numFmtId="176" fontId="2" fillId="34" borderId="16" xfId="5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76" fontId="2" fillId="34" borderId="23" xfId="5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176" fontId="2" fillId="34" borderId="22" xfId="5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right" vertical="center"/>
    </xf>
    <xf numFmtId="9" fontId="9" fillId="34" borderId="0" xfId="0" applyNumberFormat="1" applyFont="1" applyFill="1" applyBorder="1" applyAlignment="1">
      <alignment horizontal="right" vertical="center"/>
    </xf>
    <xf numFmtId="176" fontId="2" fillId="34" borderId="17" xfId="50" applyNumberFormat="1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right" vertical="center"/>
    </xf>
    <xf numFmtId="176" fontId="2" fillId="34" borderId="18" xfId="5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left" vertical="center"/>
    </xf>
    <xf numFmtId="176" fontId="3" fillId="33" borderId="17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176" fontId="3" fillId="33" borderId="18" xfId="5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/>
    </xf>
    <xf numFmtId="176" fontId="3" fillId="0" borderId="0" xfId="5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9" fillId="34" borderId="0" xfId="50" applyNumberFormat="1" applyFont="1" applyFill="1" applyBorder="1" applyAlignment="1">
      <alignment horizontal="right" vertical="center"/>
    </xf>
    <xf numFmtId="176" fontId="9" fillId="34" borderId="23" xfId="50" applyNumberFormat="1" applyFont="1" applyFill="1" applyBorder="1" applyAlignment="1">
      <alignment horizontal="right" vertical="center"/>
    </xf>
    <xf numFmtId="176" fontId="9" fillId="34" borderId="24" xfId="50" applyNumberFormat="1" applyFont="1" applyFill="1" applyBorder="1" applyAlignment="1">
      <alignment horizontal="right" vertical="center"/>
    </xf>
    <xf numFmtId="176" fontId="9" fillId="34" borderId="19" xfId="50" applyNumberFormat="1" applyFont="1" applyFill="1" applyBorder="1" applyAlignment="1">
      <alignment horizontal="right" vertical="center"/>
    </xf>
    <xf numFmtId="176" fontId="9" fillId="34" borderId="17" xfId="50" applyNumberFormat="1" applyFont="1" applyFill="1" applyBorder="1" applyAlignment="1">
      <alignment horizontal="right" vertical="center"/>
    </xf>
    <xf numFmtId="9" fontId="9" fillId="34" borderId="0" xfId="0" applyNumberFormat="1" applyFont="1" applyFill="1" applyBorder="1" applyAlignment="1">
      <alignment horizontal="center" vertical="center"/>
    </xf>
    <xf numFmtId="176" fontId="2" fillId="0" borderId="0" xfId="50" applyNumberFormat="1" applyFont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176" fontId="17" fillId="34" borderId="23" xfId="50" applyNumberFormat="1" applyFont="1" applyFill="1" applyBorder="1" applyAlignment="1">
      <alignment horizontal="right" vertical="center"/>
    </xf>
    <xf numFmtId="176" fontId="17" fillId="34" borderId="0" xfId="50" applyNumberFormat="1" applyFont="1" applyFill="1" applyBorder="1" applyAlignment="1">
      <alignment horizontal="right" vertical="center"/>
    </xf>
    <xf numFmtId="0" fontId="14" fillId="33" borderId="24" xfId="0" applyFont="1" applyFill="1" applyBorder="1" applyAlignment="1">
      <alignment horizontal="left" vertical="center"/>
    </xf>
    <xf numFmtId="176" fontId="17" fillId="34" borderId="20" xfId="50" applyNumberFormat="1" applyFont="1" applyFill="1" applyBorder="1" applyAlignment="1">
      <alignment horizontal="right" vertical="center"/>
    </xf>
    <xf numFmtId="176" fontId="17" fillId="34" borderId="21" xfId="50" applyNumberFormat="1" applyFont="1" applyFill="1" applyBorder="1" applyAlignment="1">
      <alignment horizontal="right" vertical="center"/>
    </xf>
    <xf numFmtId="176" fontId="17" fillId="34" borderId="25" xfId="50" applyNumberFormat="1" applyFont="1" applyFill="1" applyBorder="1" applyAlignment="1">
      <alignment horizontal="right" vertical="center"/>
    </xf>
    <xf numFmtId="176" fontId="17" fillId="34" borderId="24" xfId="50" applyNumberFormat="1" applyFont="1" applyFill="1" applyBorder="1" applyAlignment="1">
      <alignment horizontal="right" vertical="center"/>
    </xf>
    <xf numFmtId="0" fontId="14" fillId="33" borderId="26" xfId="0" applyFont="1" applyFill="1" applyBorder="1" applyAlignment="1">
      <alignment horizontal="left" vertical="center"/>
    </xf>
    <xf numFmtId="176" fontId="17" fillId="34" borderId="27" xfId="50" applyNumberFormat="1" applyFont="1" applyFill="1" applyBorder="1" applyAlignment="1">
      <alignment horizontal="right" vertical="center"/>
    </xf>
    <xf numFmtId="176" fontId="17" fillId="34" borderId="28" xfId="50" applyNumberFormat="1" applyFont="1" applyFill="1" applyBorder="1" applyAlignment="1">
      <alignment horizontal="right" vertical="center"/>
    </xf>
    <xf numFmtId="176" fontId="17" fillId="34" borderId="26" xfId="5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left" vertical="center"/>
    </xf>
    <xf numFmtId="176" fontId="9" fillId="34" borderId="20" xfId="50" applyNumberFormat="1" applyFont="1" applyFill="1" applyBorder="1" applyAlignment="1">
      <alignment horizontal="right" vertical="center"/>
    </xf>
    <xf numFmtId="176" fontId="9" fillId="34" borderId="21" xfId="5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50" applyNumberFormat="1" applyFont="1" applyFill="1" applyBorder="1" applyAlignment="1">
      <alignment horizontal="left" vertical="center"/>
    </xf>
    <xf numFmtId="176" fontId="8" fillId="34" borderId="22" xfId="5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/>
    </xf>
    <xf numFmtId="176" fontId="3" fillId="34" borderId="17" xfId="50" applyNumberFormat="1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176" fontId="3" fillId="34" borderId="18" xfId="5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18" fillId="34" borderId="19" xfId="50" applyNumberFormat="1" applyFont="1" applyFill="1" applyBorder="1" applyAlignment="1">
      <alignment horizontal="right" vertical="center"/>
    </xf>
    <xf numFmtId="176" fontId="14" fillId="34" borderId="22" xfId="50" applyNumberFormat="1" applyFont="1" applyFill="1" applyBorder="1" applyAlignment="1">
      <alignment horizontal="left" vertical="center"/>
    </xf>
    <xf numFmtId="176" fontId="14" fillId="34" borderId="29" xfId="50" applyNumberFormat="1" applyFont="1" applyFill="1" applyBorder="1" applyAlignment="1">
      <alignment horizontal="left" vertical="center"/>
    </xf>
    <xf numFmtId="9" fontId="9" fillId="34" borderId="0" xfId="68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6" fontId="9" fillId="34" borderId="27" xfId="50" applyNumberFormat="1" applyFont="1" applyFill="1" applyBorder="1" applyAlignment="1">
      <alignment horizontal="right" vertical="center"/>
    </xf>
    <xf numFmtId="176" fontId="9" fillId="34" borderId="28" xfId="50" applyNumberFormat="1" applyFont="1" applyFill="1" applyBorder="1" applyAlignment="1">
      <alignment horizontal="right" vertical="center"/>
    </xf>
    <xf numFmtId="176" fontId="9" fillId="34" borderId="26" xfId="50" applyNumberFormat="1" applyFont="1" applyFill="1" applyBorder="1" applyAlignment="1">
      <alignment horizontal="right" vertical="center"/>
    </xf>
    <xf numFmtId="176" fontId="9" fillId="34" borderId="25" xfId="5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50" applyNumberFormat="1" applyFont="1" applyBorder="1" applyAlignment="1">
      <alignment vertical="center"/>
    </xf>
    <xf numFmtId="10" fontId="2" fillId="0" borderId="0" xfId="68" applyNumberFormat="1" applyFont="1" applyBorder="1" applyAlignment="1">
      <alignment vertical="center"/>
    </xf>
    <xf numFmtId="176" fontId="3" fillId="34" borderId="29" xfId="50" applyNumberFormat="1" applyFont="1" applyFill="1" applyBorder="1" applyAlignment="1">
      <alignment horizontal="right" vertical="center"/>
    </xf>
    <xf numFmtId="176" fontId="2" fillId="34" borderId="29" xfId="50" applyNumberFormat="1" applyFont="1" applyFill="1" applyBorder="1" applyAlignment="1">
      <alignment horizontal="right" vertical="center"/>
    </xf>
    <xf numFmtId="176" fontId="7" fillId="32" borderId="30" xfId="0" applyNumberFormat="1" applyFont="1" applyFill="1" applyBorder="1" applyAlignment="1" applyProtection="1">
      <alignment horizontal="center" vertical="center"/>
      <protection locked="0"/>
    </xf>
    <xf numFmtId="176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>
      <alignment horizontal="center"/>
    </xf>
    <xf numFmtId="176" fontId="17" fillId="34" borderId="0" xfId="5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9" fillId="34" borderId="22" xfId="50" applyNumberFormat="1" applyFont="1" applyFill="1" applyBorder="1" applyAlignment="1">
      <alignment horizontal="right" vertical="center"/>
    </xf>
    <xf numFmtId="176" fontId="18" fillId="34" borderId="18" xfId="50" applyNumberFormat="1" applyFont="1" applyFill="1" applyBorder="1" applyAlignment="1">
      <alignment horizontal="right" vertical="center"/>
    </xf>
    <xf numFmtId="174" fontId="14" fillId="0" borderId="0" xfId="0" applyNumberFormat="1" applyFont="1" applyAlignment="1">
      <alignment horizontal="left" vertical="center"/>
    </xf>
    <xf numFmtId="9" fontId="9" fillId="34" borderId="0" xfId="68" applyFont="1" applyFill="1" applyBorder="1" applyAlignment="1">
      <alignment horizontal="right" vertical="center"/>
    </xf>
    <xf numFmtId="10" fontId="9" fillId="34" borderId="0" xfId="68" applyNumberFormat="1" applyFont="1" applyFill="1" applyBorder="1" applyAlignment="1">
      <alignment horizontal="center" vertical="center"/>
    </xf>
    <xf numFmtId="10" fontId="9" fillId="34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0" fontId="10" fillId="34" borderId="0" xfId="0" applyNumberFormat="1" applyFont="1" applyFill="1" applyBorder="1" applyAlignment="1">
      <alignment horizontal="center" vertical="center"/>
    </xf>
    <xf numFmtId="10" fontId="2" fillId="34" borderId="19" xfId="0" applyNumberFormat="1" applyFont="1" applyFill="1" applyBorder="1" applyAlignment="1">
      <alignment horizontal="right" vertical="center"/>
    </xf>
    <xf numFmtId="176" fontId="9" fillId="34" borderId="18" xfId="50" applyNumberFormat="1" applyFont="1" applyFill="1" applyBorder="1" applyAlignment="1">
      <alignment horizontal="right" vertical="center"/>
    </xf>
    <xf numFmtId="176" fontId="6" fillId="36" borderId="20" xfId="0" applyNumberFormat="1" applyFont="1" applyFill="1" applyBorder="1" applyAlignment="1">
      <alignment horizontal="center" vertical="center" wrapText="1"/>
    </xf>
    <xf numFmtId="174" fontId="2" fillId="0" borderId="0" xfId="5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 textRotation="255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176" fontId="69" fillId="0" borderId="18" xfId="50" applyNumberFormat="1" applyFont="1" applyFill="1" applyBorder="1" applyAlignment="1">
      <alignment horizontal="right" vertical="center"/>
    </xf>
    <xf numFmtId="176" fontId="14" fillId="34" borderId="16" xfId="50" applyNumberFormat="1" applyFont="1" applyFill="1" applyBorder="1" applyAlignment="1">
      <alignment horizontal="right" vertical="center"/>
    </xf>
    <xf numFmtId="176" fontId="3" fillId="35" borderId="18" xfId="50" applyNumberFormat="1" applyFont="1" applyFill="1" applyBorder="1" applyAlignment="1">
      <alignment horizontal="right" vertical="center"/>
    </xf>
    <xf numFmtId="176" fontId="7" fillId="32" borderId="32" xfId="0" applyNumberFormat="1" applyFont="1" applyFill="1" applyBorder="1" applyAlignment="1" applyProtection="1">
      <alignment horizontal="right" vertical="center"/>
      <protection locked="0"/>
    </xf>
    <xf numFmtId="176" fontId="7" fillId="32" borderId="34" xfId="0" applyNumberFormat="1" applyFont="1" applyFill="1" applyBorder="1" applyAlignment="1" applyProtection="1">
      <alignment horizontal="right" vertical="center"/>
      <protection locked="0"/>
    </xf>
    <xf numFmtId="176" fontId="7" fillId="32" borderId="35" xfId="0" applyNumberFormat="1" applyFont="1" applyFill="1" applyBorder="1" applyAlignment="1" applyProtection="1">
      <alignment horizontal="right" vertical="center"/>
      <protection locked="0"/>
    </xf>
    <xf numFmtId="176" fontId="5" fillId="33" borderId="35" xfId="0" applyNumberFormat="1" applyFont="1" applyFill="1" applyBorder="1" applyAlignment="1" applyProtection="1">
      <alignment horizontal="right" vertical="center"/>
      <protection locked="0"/>
    </xf>
    <xf numFmtId="176" fontId="3" fillId="33" borderId="32" xfId="0" applyNumberFormat="1" applyFont="1" applyFill="1" applyBorder="1" applyAlignment="1" applyProtection="1">
      <alignment horizontal="right" vertical="center"/>
      <protection locked="0"/>
    </xf>
    <xf numFmtId="176" fontId="7" fillId="32" borderId="30" xfId="0" applyNumberFormat="1" applyFont="1" applyFill="1" applyBorder="1" applyAlignment="1" applyProtection="1">
      <alignment horizontal="right" vertical="center"/>
      <protection locked="0"/>
    </xf>
    <xf numFmtId="176" fontId="3" fillId="33" borderId="30" xfId="0" applyNumberFormat="1" applyFont="1" applyFill="1" applyBorder="1" applyAlignment="1" applyProtection="1">
      <alignment horizontal="right" vertical="center"/>
      <protection locked="0"/>
    </xf>
    <xf numFmtId="176" fontId="3" fillId="33" borderId="35" xfId="0" applyNumberFormat="1" applyFont="1" applyFill="1" applyBorder="1" applyAlignment="1" applyProtection="1">
      <alignment horizontal="right" vertical="center"/>
      <protection locked="0"/>
    </xf>
    <xf numFmtId="10" fontId="7" fillId="32" borderId="34" xfId="68" applyNumberFormat="1" applyFont="1" applyFill="1" applyBorder="1" applyAlignment="1" applyProtection="1">
      <alignment horizontal="right" vertical="center"/>
      <protection locked="0"/>
    </xf>
    <xf numFmtId="10" fontId="3" fillId="33" borderId="30" xfId="68" applyNumberFormat="1" applyFont="1" applyFill="1" applyBorder="1" applyAlignment="1" applyProtection="1">
      <alignment horizontal="right" vertical="center"/>
      <protection locked="0"/>
    </xf>
    <xf numFmtId="10" fontId="70" fillId="34" borderId="0" xfId="68" applyNumberFormat="1" applyFont="1" applyFill="1" applyBorder="1" applyAlignment="1">
      <alignment horizontal="center" vertical="center"/>
    </xf>
    <xf numFmtId="10" fontId="17" fillId="34" borderId="0" xfId="68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176" fontId="6" fillId="36" borderId="18" xfId="50" applyNumberFormat="1" applyFont="1" applyFill="1" applyBorder="1" applyAlignment="1">
      <alignment horizontal="right" vertical="center"/>
    </xf>
    <xf numFmtId="176" fontId="6" fillId="36" borderId="21" xfId="0" applyNumberFormat="1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 wrapText="1"/>
    </xf>
    <xf numFmtId="176" fontId="3" fillId="37" borderId="18" xfId="50" applyNumberFormat="1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left" vertical="center"/>
    </xf>
    <xf numFmtId="0" fontId="2" fillId="37" borderId="20" xfId="0" applyFont="1" applyFill="1" applyBorder="1" applyAlignment="1">
      <alignment horizontal="left" vertical="center"/>
    </xf>
    <xf numFmtId="9" fontId="9" fillId="34" borderId="21" xfId="68" applyFont="1" applyFill="1" applyBorder="1" applyAlignment="1">
      <alignment horizontal="right" vertical="center"/>
    </xf>
    <xf numFmtId="0" fontId="2" fillId="37" borderId="22" xfId="0" applyFont="1" applyFill="1" applyBorder="1" applyAlignment="1">
      <alignment horizontal="left" vertical="center"/>
    </xf>
    <xf numFmtId="0" fontId="2" fillId="37" borderId="23" xfId="0" applyFont="1" applyFill="1" applyBorder="1" applyAlignment="1">
      <alignment horizontal="left" vertical="center"/>
    </xf>
    <xf numFmtId="9" fontId="16" fillId="34" borderId="0" xfId="68" applyFont="1" applyFill="1" applyBorder="1" applyAlignment="1">
      <alignment horizontal="right" vertical="center"/>
    </xf>
    <xf numFmtId="0" fontId="2" fillId="37" borderId="18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9" fontId="2" fillId="34" borderId="36" xfId="68" applyFont="1" applyFill="1" applyBorder="1" applyAlignment="1">
      <alignment horizontal="right" vertical="center"/>
    </xf>
    <xf numFmtId="9" fontId="2" fillId="34" borderId="0" xfId="68" applyFont="1" applyFill="1" applyBorder="1" applyAlignment="1">
      <alignment horizontal="right" vertical="center"/>
    </xf>
    <xf numFmtId="9" fontId="2" fillId="34" borderId="19" xfId="68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left" vertical="center"/>
    </xf>
    <xf numFmtId="176" fontId="3" fillId="37" borderId="17" xfId="0" applyNumberFormat="1" applyFont="1" applyFill="1" applyBorder="1" applyAlignment="1">
      <alignment horizontal="right" vertical="center"/>
    </xf>
    <xf numFmtId="0" fontId="3" fillId="37" borderId="19" xfId="0" applyFont="1" applyFill="1" applyBorder="1" applyAlignment="1">
      <alignment horizontal="right" vertical="center"/>
    </xf>
    <xf numFmtId="176" fontId="3" fillId="37" borderId="18" xfId="5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176" fontId="3" fillId="0" borderId="24" xfId="50" applyNumberFormat="1" applyFont="1" applyFill="1" applyBorder="1" applyAlignment="1">
      <alignment horizontal="left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left" vertical="center"/>
    </xf>
    <xf numFmtId="10" fontId="2" fillId="0" borderId="12" xfId="0" applyNumberFormat="1" applyFont="1" applyBorder="1" applyAlignment="1">
      <alignment horizontal="left" vertical="center"/>
    </xf>
    <xf numFmtId="10" fontId="2" fillId="0" borderId="34" xfId="0" applyNumberFormat="1" applyFont="1" applyBorder="1" applyAlignment="1">
      <alignment horizontal="left" vertical="center"/>
    </xf>
    <xf numFmtId="10" fontId="2" fillId="0" borderId="11" xfId="0" applyNumberFormat="1" applyFont="1" applyBorder="1" applyAlignment="1">
      <alignment horizontal="left" vertical="center"/>
    </xf>
    <xf numFmtId="10" fontId="2" fillId="0" borderId="35" xfId="0" applyNumberFormat="1" applyFont="1" applyBorder="1" applyAlignment="1">
      <alignment horizontal="left" vertical="center"/>
    </xf>
    <xf numFmtId="10" fontId="2" fillId="0" borderId="13" xfId="0" applyNumberFormat="1" applyFont="1" applyBorder="1" applyAlignment="1">
      <alignment horizontal="left" vertical="center"/>
    </xf>
    <xf numFmtId="176" fontId="3" fillId="37" borderId="17" xfId="50" applyNumberFormat="1" applyFont="1" applyFill="1" applyBorder="1" applyAlignment="1">
      <alignment horizontal="right" vertical="center"/>
    </xf>
    <xf numFmtId="176" fontId="6" fillId="36" borderId="17" xfId="0" applyNumberFormat="1" applyFont="1" applyFill="1" applyBorder="1" applyAlignment="1">
      <alignment horizontal="center" vertical="center" wrapText="1"/>
    </xf>
    <xf numFmtId="176" fontId="6" fillId="36" borderId="18" xfId="0" applyNumberFormat="1" applyFont="1" applyFill="1" applyBorder="1" applyAlignment="1">
      <alignment horizontal="center" vertical="center" wrapText="1"/>
    </xf>
    <xf numFmtId="176" fontId="6" fillId="36" borderId="18" xfId="52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left" vertical="center"/>
    </xf>
    <xf numFmtId="176" fontId="17" fillId="34" borderId="23" xfId="52" applyNumberFormat="1" applyFont="1" applyFill="1" applyBorder="1" applyAlignment="1">
      <alignment horizontal="right" vertical="center"/>
    </xf>
    <xf numFmtId="176" fontId="17" fillId="34" borderId="0" xfId="52" applyNumberFormat="1" applyFont="1" applyFill="1" applyBorder="1" applyAlignment="1">
      <alignment horizontal="center" vertical="center"/>
    </xf>
    <xf numFmtId="176" fontId="2" fillId="34" borderId="22" xfId="52" applyNumberFormat="1" applyFont="1" applyFill="1" applyBorder="1" applyAlignment="1">
      <alignment horizontal="right" vertical="center"/>
    </xf>
    <xf numFmtId="0" fontId="14" fillId="37" borderId="24" xfId="0" applyFont="1" applyFill="1" applyBorder="1" applyAlignment="1">
      <alignment horizontal="left" vertical="center"/>
    </xf>
    <xf numFmtId="176" fontId="14" fillId="34" borderId="22" xfId="52" applyNumberFormat="1" applyFont="1" applyFill="1" applyBorder="1" applyAlignment="1">
      <alignment horizontal="left" vertical="center"/>
    </xf>
    <xf numFmtId="176" fontId="14" fillId="34" borderId="29" xfId="52" applyNumberFormat="1" applyFont="1" applyFill="1" applyBorder="1" applyAlignment="1">
      <alignment horizontal="left" vertical="center"/>
    </xf>
    <xf numFmtId="176" fontId="17" fillId="37" borderId="20" xfId="52" applyNumberFormat="1" applyFont="1" applyFill="1" applyBorder="1" applyAlignment="1">
      <alignment horizontal="right" vertical="center"/>
    </xf>
    <xf numFmtId="176" fontId="17" fillId="37" borderId="21" xfId="52" applyNumberFormat="1" applyFont="1" applyFill="1" applyBorder="1" applyAlignment="1">
      <alignment horizontal="right" vertical="center"/>
    </xf>
    <xf numFmtId="176" fontId="17" fillId="37" borderId="25" xfId="52" applyNumberFormat="1" applyFont="1" applyFill="1" applyBorder="1" applyAlignment="1">
      <alignment horizontal="right" vertical="center"/>
    </xf>
    <xf numFmtId="176" fontId="17" fillId="37" borderId="23" xfId="52" applyNumberFormat="1" applyFont="1" applyFill="1" applyBorder="1" applyAlignment="1">
      <alignment horizontal="right" vertical="center"/>
    </xf>
    <xf numFmtId="176" fontId="17" fillId="37" borderId="0" xfId="52" applyNumberFormat="1" applyFont="1" applyFill="1" applyBorder="1" applyAlignment="1">
      <alignment horizontal="right" vertical="center"/>
    </xf>
    <xf numFmtId="176" fontId="17" fillId="37" borderId="24" xfId="52" applyNumberFormat="1" applyFont="1" applyFill="1" applyBorder="1" applyAlignment="1">
      <alignment horizontal="right" vertical="center"/>
    </xf>
    <xf numFmtId="0" fontId="14" fillId="37" borderId="26" xfId="0" applyFont="1" applyFill="1" applyBorder="1" applyAlignment="1">
      <alignment horizontal="left" vertical="center"/>
    </xf>
    <xf numFmtId="176" fontId="17" fillId="37" borderId="27" xfId="52" applyNumberFormat="1" applyFont="1" applyFill="1" applyBorder="1" applyAlignment="1">
      <alignment horizontal="right" vertical="center"/>
    </xf>
    <xf numFmtId="176" fontId="17" fillId="37" borderId="28" xfId="52" applyNumberFormat="1" applyFont="1" applyFill="1" applyBorder="1" applyAlignment="1">
      <alignment horizontal="right" vertical="center"/>
    </xf>
    <xf numFmtId="176" fontId="17" fillId="37" borderId="26" xfId="52" applyNumberFormat="1" applyFont="1" applyFill="1" applyBorder="1" applyAlignment="1">
      <alignment horizontal="right" vertical="center"/>
    </xf>
    <xf numFmtId="176" fontId="2" fillId="34" borderId="16" xfId="52" applyNumberFormat="1" applyFont="1" applyFill="1" applyBorder="1" applyAlignment="1">
      <alignment horizontal="right" vertical="center"/>
    </xf>
    <xf numFmtId="0" fontId="2" fillId="37" borderId="24" xfId="0" applyFont="1" applyFill="1" applyBorder="1" applyAlignment="1">
      <alignment horizontal="left" vertical="center"/>
    </xf>
    <xf numFmtId="176" fontId="9" fillId="37" borderId="23" xfId="52" applyNumberFormat="1" applyFont="1" applyFill="1" applyBorder="1" applyAlignment="1">
      <alignment horizontal="right" vertical="center"/>
    </xf>
    <xf numFmtId="176" fontId="9" fillId="37" borderId="0" xfId="52" applyNumberFormat="1" applyFont="1" applyFill="1" applyBorder="1" applyAlignment="1">
      <alignment horizontal="right" vertical="center"/>
    </xf>
    <xf numFmtId="176" fontId="9" fillId="37" borderId="24" xfId="52" applyNumberFormat="1" applyFont="1" applyFill="1" applyBorder="1" applyAlignment="1">
      <alignment horizontal="right" vertical="center"/>
    </xf>
    <xf numFmtId="176" fontId="9" fillId="37" borderId="27" xfId="52" applyNumberFormat="1" applyFont="1" applyFill="1" applyBorder="1" applyAlignment="1">
      <alignment horizontal="right" vertical="center"/>
    </xf>
    <xf numFmtId="176" fontId="9" fillId="37" borderId="28" xfId="52" applyNumberFormat="1" applyFont="1" applyFill="1" applyBorder="1" applyAlignment="1">
      <alignment horizontal="right" vertical="center"/>
    </xf>
    <xf numFmtId="176" fontId="9" fillId="37" borderId="26" xfId="52" applyNumberFormat="1" applyFont="1" applyFill="1" applyBorder="1" applyAlignment="1">
      <alignment horizontal="right" vertical="center"/>
    </xf>
    <xf numFmtId="176" fontId="9" fillId="37" borderId="20" xfId="52" applyNumberFormat="1" applyFont="1" applyFill="1" applyBorder="1" applyAlignment="1">
      <alignment horizontal="right" vertical="center"/>
    </xf>
    <xf numFmtId="176" fontId="9" fillId="37" borderId="21" xfId="52" applyNumberFormat="1" applyFont="1" applyFill="1" applyBorder="1" applyAlignment="1">
      <alignment horizontal="right" vertical="center"/>
    </xf>
    <xf numFmtId="176" fontId="9" fillId="37" borderId="25" xfId="52" applyNumberFormat="1" applyFont="1" applyFill="1" applyBorder="1" applyAlignment="1">
      <alignment horizontal="right" vertical="center"/>
    </xf>
    <xf numFmtId="0" fontId="60" fillId="38" borderId="20" xfId="0" applyFont="1" applyFill="1" applyBorder="1" applyAlignment="1">
      <alignment vertical="center"/>
    </xf>
    <xf numFmtId="176" fontId="60" fillId="38" borderId="25" xfId="0" applyNumberFormat="1" applyFont="1" applyFill="1" applyBorder="1" applyAlignment="1">
      <alignment vertical="center"/>
    </xf>
    <xf numFmtId="0" fontId="60" fillId="38" borderId="23" xfId="0" applyFont="1" applyFill="1" applyBorder="1" applyAlignment="1">
      <alignment vertical="center"/>
    </xf>
    <xf numFmtId="176" fontId="60" fillId="38" borderId="24" xfId="0" applyNumberFormat="1" applyFont="1" applyFill="1" applyBorder="1" applyAlignment="1">
      <alignment vertical="center"/>
    </xf>
    <xf numFmtId="0" fontId="60" fillId="38" borderId="27" xfId="0" applyFont="1" applyFill="1" applyBorder="1" applyAlignment="1">
      <alignment vertical="center"/>
    </xf>
    <xf numFmtId="176" fontId="60" fillId="38" borderId="26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14" fillId="37" borderId="22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176" fontId="14" fillId="34" borderId="16" xfId="52" applyNumberFormat="1" applyFont="1" applyFill="1" applyBorder="1" applyAlignment="1">
      <alignment horizontal="righ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176" fontId="3" fillId="37" borderId="18" xfId="52" applyNumberFormat="1" applyFont="1" applyFill="1" applyBorder="1" applyAlignment="1">
      <alignment horizontal="right" vertical="center"/>
    </xf>
    <xf numFmtId="176" fontId="69" fillId="0" borderId="18" xfId="52" applyNumberFormat="1" applyFont="1" applyFill="1" applyBorder="1" applyAlignment="1">
      <alignment horizontal="right" vertical="center"/>
    </xf>
    <xf numFmtId="176" fontId="6" fillId="0" borderId="0" xfId="52" applyNumberFormat="1" applyFont="1" applyFill="1" applyBorder="1" applyAlignment="1">
      <alignment horizontal="left" vertical="center"/>
    </xf>
    <xf numFmtId="176" fontId="71" fillId="32" borderId="34" xfId="0" applyNumberFormat="1" applyFont="1" applyFill="1" applyBorder="1" applyAlignment="1" applyProtection="1">
      <alignment horizontal="right" vertical="center"/>
      <protection locked="0"/>
    </xf>
    <xf numFmtId="176" fontId="3" fillId="33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72" fillId="0" borderId="18" xfId="0" applyFont="1" applyBorder="1" applyAlignment="1">
      <alignment horizontal="center" vertical="center" wrapText="1"/>
    </xf>
    <xf numFmtId="9" fontId="72" fillId="0" borderId="18" xfId="68" applyFont="1" applyBorder="1" applyAlignment="1">
      <alignment horizontal="center" vertical="center" wrapText="1"/>
    </xf>
    <xf numFmtId="10" fontId="72" fillId="0" borderId="18" xfId="68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/>
    </xf>
    <xf numFmtId="10" fontId="70" fillId="34" borderId="21" xfId="68" applyNumberFormat="1" applyFont="1" applyFill="1" applyBorder="1" applyAlignment="1">
      <alignment horizontal="center" vertical="center"/>
    </xf>
    <xf numFmtId="10" fontId="17" fillId="34" borderId="25" xfId="68" applyNumberFormat="1" applyFont="1" applyFill="1" applyBorder="1" applyAlignment="1">
      <alignment horizontal="center" vertical="center"/>
    </xf>
    <xf numFmtId="10" fontId="17" fillId="34" borderId="24" xfId="68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/>
    </xf>
    <xf numFmtId="10" fontId="70" fillId="34" borderId="28" xfId="68" applyNumberFormat="1" applyFont="1" applyFill="1" applyBorder="1" applyAlignment="1">
      <alignment horizontal="center" vertical="center"/>
    </xf>
    <xf numFmtId="10" fontId="17" fillId="34" borderId="26" xfId="68" applyNumberFormat="1" applyFont="1" applyFill="1" applyBorder="1" applyAlignment="1">
      <alignment horizontal="center" vertical="center"/>
    </xf>
    <xf numFmtId="0" fontId="73" fillId="22" borderId="20" xfId="0" applyFont="1" applyFill="1" applyBorder="1" applyAlignment="1">
      <alignment horizontal="center" vertical="center"/>
    </xf>
    <xf numFmtId="0" fontId="73" fillId="22" borderId="25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 textRotation="255"/>
    </xf>
    <xf numFmtId="0" fontId="2" fillId="37" borderId="16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3" fillId="39" borderId="18" xfId="0" applyFont="1" applyFill="1" applyBorder="1" applyAlignment="1">
      <alignment vertical="center"/>
    </xf>
    <xf numFmtId="0" fontId="73" fillId="39" borderId="0" xfId="0" applyFont="1" applyFill="1" applyBorder="1" applyAlignment="1">
      <alignment horizontal="center" vertical="center"/>
    </xf>
    <xf numFmtId="0" fontId="73" fillId="39" borderId="18" xfId="0" applyFont="1" applyFill="1" applyBorder="1" applyAlignment="1">
      <alignment horizontal="center" vertical="center"/>
    </xf>
    <xf numFmtId="0" fontId="73" fillId="39" borderId="11" xfId="0" applyFont="1" applyFill="1" applyBorder="1" applyAlignment="1">
      <alignment horizontal="center" vertical="center"/>
    </xf>
    <xf numFmtId="176" fontId="14" fillId="34" borderId="23" xfId="5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6" fontId="17" fillId="0" borderId="10" xfId="52" applyNumberFormat="1" applyFont="1" applyFill="1" applyBorder="1" applyAlignment="1">
      <alignment horizontal="right" vertical="center"/>
    </xf>
    <xf numFmtId="176" fontId="17" fillId="0" borderId="34" xfId="52" applyNumberFormat="1" applyFont="1" applyFill="1" applyBorder="1" applyAlignment="1">
      <alignment horizontal="right" vertical="center"/>
    </xf>
    <xf numFmtId="176" fontId="71" fillId="32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76" fontId="15" fillId="32" borderId="30" xfId="0" applyNumberFormat="1" applyFont="1" applyFill="1" applyBorder="1" applyAlignment="1" applyProtection="1">
      <alignment horizontal="left" vertical="center"/>
      <protection locked="0"/>
    </xf>
    <xf numFmtId="176" fontId="5" fillId="40" borderId="30" xfId="0" applyNumberFormat="1" applyFont="1" applyFill="1" applyBorder="1" applyAlignment="1" applyProtection="1">
      <alignment horizontal="right" vertical="center"/>
      <protection locked="0"/>
    </xf>
    <xf numFmtId="176" fontId="19" fillId="33" borderId="30" xfId="68" applyNumberFormat="1" applyFont="1" applyFill="1" applyBorder="1" applyAlignment="1" applyProtection="1">
      <alignment horizontal="right" vertical="center"/>
      <protection locked="0"/>
    </xf>
    <xf numFmtId="174" fontId="74" fillId="32" borderId="37" xfId="0" applyNumberFormat="1" applyFont="1" applyFill="1" applyBorder="1" applyAlignment="1" applyProtection="1">
      <alignment horizontal="right" vertical="center"/>
      <protection locked="0"/>
    </xf>
    <xf numFmtId="10" fontId="7" fillId="32" borderId="29" xfId="68" applyNumberFormat="1" applyFont="1" applyFill="1" applyBorder="1" applyAlignment="1" applyProtection="1">
      <alignment horizontal="right" vertical="center"/>
      <protection locked="0"/>
    </xf>
    <xf numFmtId="176" fontId="17" fillId="34" borderId="23" xfId="50" applyNumberFormat="1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textRotation="255"/>
    </xf>
    <xf numFmtId="0" fontId="2" fillId="37" borderId="16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9" fontId="9" fillId="34" borderId="25" xfId="68" applyFont="1" applyFill="1" applyBorder="1" applyAlignment="1">
      <alignment horizontal="right" vertical="center"/>
    </xf>
    <xf numFmtId="176" fontId="2" fillId="34" borderId="24" xfId="50" applyNumberFormat="1" applyFont="1" applyFill="1" applyBorder="1" applyAlignment="1">
      <alignment horizontal="right" vertical="center"/>
    </xf>
    <xf numFmtId="9" fontId="9" fillId="34" borderId="24" xfId="68" applyFont="1" applyFill="1" applyBorder="1" applyAlignment="1">
      <alignment horizontal="right" vertical="center"/>
    </xf>
    <xf numFmtId="176" fontId="2" fillId="34" borderId="27" xfId="50" applyNumberFormat="1" applyFont="1" applyFill="1" applyBorder="1" applyAlignment="1">
      <alignment horizontal="right" vertical="center"/>
    </xf>
    <xf numFmtId="9" fontId="9" fillId="34" borderId="26" xfId="68" applyFont="1" applyFill="1" applyBorder="1" applyAlignment="1">
      <alignment horizontal="right" vertical="center"/>
    </xf>
    <xf numFmtId="9" fontId="2" fillId="34" borderId="26" xfId="68" applyFont="1" applyFill="1" applyBorder="1" applyAlignment="1">
      <alignment horizontal="right" vertical="center"/>
    </xf>
    <xf numFmtId="10" fontId="0" fillId="0" borderId="0" xfId="68" applyNumberFormat="1" applyFont="1" applyAlignment="1">
      <alignment vertical="center"/>
    </xf>
    <xf numFmtId="10" fontId="70" fillId="34" borderId="0" xfId="0" applyNumberFormat="1" applyFont="1" applyFill="1" applyBorder="1" applyAlignment="1">
      <alignment horizontal="center" vertical="center"/>
    </xf>
    <xf numFmtId="176" fontId="70" fillId="34" borderId="29" xfId="52" applyNumberFormat="1" applyFont="1" applyFill="1" applyBorder="1" applyAlignment="1">
      <alignment horizontal="left" vertical="center"/>
    </xf>
    <xf numFmtId="0" fontId="75" fillId="0" borderId="0" xfId="0" applyFont="1" applyAlignment="1">
      <alignment vertical="center"/>
    </xf>
    <xf numFmtId="174" fontId="2" fillId="0" borderId="20" xfId="50" applyNumberFormat="1" applyFont="1" applyBorder="1" applyAlignment="1">
      <alignment vertical="center"/>
    </xf>
    <xf numFmtId="174" fontId="2" fillId="0" borderId="21" xfId="50" applyNumberFormat="1" applyFont="1" applyBorder="1" applyAlignment="1">
      <alignment vertical="center"/>
    </xf>
    <xf numFmtId="176" fontId="2" fillId="0" borderId="25" xfId="50" applyNumberFormat="1" applyFont="1" applyBorder="1" applyAlignment="1">
      <alignment vertical="center"/>
    </xf>
    <xf numFmtId="174" fontId="2" fillId="0" borderId="23" xfId="50" applyNumberFormat="1" applyFont="1" applyBorder="1" applyAlignment="1">
      <alignment vertical="center"/>
    </xf>
    <xf numFmtId="174" fontId="2" fillId="0" borderId="27" xfId="0" applyNumberFormat="1" applyFont="1" applyBorder="1" applyAlignment="1">
      <alignment vertical="center"/>
    </xf>
    <xf numFmtId="17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0" fontId="2" fillId="0" borderId="20" xfId="68" applyNumberFormat="1" applyFont="1" applyBorder="1" applyAlignment="1">
      <alignment vertical="center"/>
    </xf>
    <xf numFmtId="10" fontId="2" fillId="0" borderId="21" xfId="68" applyNumberFormat="1" applyFont="1" applyBorder="1" applyAlignment="1">
      <alignment vertical="center"/>
    </xf>
    <xf numFmtId="10" fontId="2" fillId="0" borderId="23" xfId="68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10" fontId="2" fillId="0" borderId="28" xfId="0" applyNumberFormat="1" applyFont="1" applyBorder="1" applyAlignment="1">
      <alignment vertical="center"/>
    </xf>
    <xf numFmtId="10" fontId="2" fillId="0" borderId="25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176" fontId="2" fillId="0" borderId="16" xfId="50" applyNumberFormat="1" applyFont="1" applyBorder="1" applyAlignment="1">
      <alignment vertical="center"/>
    </xf>
    <xf numFmtId="0" fontId="73" fillId="39" borderId="11" xfId="0" applyFont="1" applyFill="1" applyBorder="1" applyAlignment="1">
      <alignment vertical="center"/>
    </xf>
    <xf numFmtId="174" fontId="2" fillId="0" borderId="21" xfId="0" applyNumberFormat="1" applyFont="1" applyBorder="1" applyAlignment="1">
      <alignment vertical="center"/>
    </xf>
    <xf numFmtId="174" fontId="2" fillId="0" borderId="27" xfId="50" applyNumberFormat="1" applyFont="1" applyBorder="1" applyAlignment="1">
      <alignment vertical="center"/>
    </xf>
    <xf numFmtId="174" fontId="2" fillId="0" borderId="28" xfId="5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3" fillId="39" borderId="17" xfId="0" applyFont="1" applyFill="1" applyBorder="1" applyAlignment="1">
      <alignment horizontal="center" vertical="center"/>
    </xf>
    <xf numFmtId="0" fontId="73" fillId="39" borderId="19" xfId="0" applyFont="1" applyFill="1" applyBorder="1" applyAlignment="1">
      <alignment horizontal="center" vertical="center"/>
    </xf>
    <xf numFmtId="176" fontId="73" fillId="39" borderId="18" xfId="5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73" fillId="39" borderId="18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6" fillId="41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6" fontId="5" fillId="32" borderId="12" xfId="0" applyNumberFormat="1" applyFont="1" applyFill="1" applyBorder="1" applyAlignment="1" applyProtection="1">
      <alignment horizontal="right" vertical="center"/>
      <protection locked="0"/>
    </xf>
    <xf numFmtId="176" fontId="7" fillId="32" borderId="10" xfId="0" applyNumberFormat="1" applyFont="1" applyFill="1" applyBorder="1" applyAlignment="1" applyProtection="1">
      <alignment horizontal="left" vertical="center"/>
      <protection locked="0"/>
    </xf>
    <xf numFmtId="176" fontId="7" fillId="32" borderId="0" xfId="0" applyNumberFormat="1" applyFont="1" applyFill="1" applyBorder="1" applyAlignment="1" applyProtection="1">
      <alignment horizontal="left" vertical="center"/>
      <protection locked="0"/>
    </xf>
    <xf numFmtId="176" fontId="7" fillId="32" borderId="11" xfId="0" applyNumberFormat="1" applyFont="1" applyFill="1" applyBorder="1" applyAlignment="1" applyProtection="1">
      <alignment horizontal="left" vertical="center"/>
      <protection locked="0"/>
    </xf>
    <xf numFmtId="176" fontId="15" fillId="32" borderId="11" xfId="0" applyNumberFormat="1" applyFont="1" applyFill="1" applyBorder="1" applyAlignment="1" applyProtection="1">
      <alignment horizontal="right" vertical="center"/>
      <protection locked="0"/>
    </xf>
    <xf numFmtId="176" fontId="7" fillId="32" borderId="38" xfId="0" applyNumberFormat="1" applyFont="1" applyFill="1" applyBorder="1" applyAlignment="1" applyProtection="1">
      <alignment horizontal="left" vertical="center"/>
      <protection locked="0"/>
    </xf>
    <xf numFmtId="176" fontId="7" fillId="32" borderId="28" xfId="0" applyNumberFormat="1" applyFont="1" applyFill="1" applyBorder="1" applyAlignment="1" applyProtection="1">
      <alignment horizontal="left" vertical="center"/>
      <protection locked="0"/>
    </xf>
    <xf numFmtId="176" fontId="7" fillId="32" borderId="39" xfId="0" applyNumberFormat="1" applyFont="1" applyFill="1" applyBorder="1" applyAlignment="1" applyProtection="1">
      <alignment horizontal="left" vertical="center"/>
      <protection locked="0"/>
    </xf>
    <xf numFmtId="176" fontId="5" fillId="32" borderId="39" xfId="0" applyNumberFormat="1" applyFont="1" applyFill="1" applyBorder="1" applyAlignment="1" applyProtection="1">
      <alignment horizontal="right" vertical="center"/>
      <protection locked="0"/>
    </xf>
    <xf numFmtId="176" fontId="7" fillId="32" borderId="40" xfId="0" applyNumberFormat="1" applyFont="1" applyFill="1" applyBorder="1" applyAlignment="1" applyProtection="1">
      <alignment horizontal="left" vertical="center"/>
      <protection locked="0"/>
    </xf>
    <xf numFmtId="176" fontId="7" fillId="32" borderId="17" xfId="0" applyNumberFormat="1" applyFont="1" applyFill="1" applyBorder="1" applyAlignment="1" applyProtection="1">
      <alignment horizontal="center" vertical="center"/>
      <protection locked="0"/>
    </xf>
    <xf numFmtId="176" fontId="7" fillId="32" borderId="41" xfId="0" applyNumberFormat="1" applyFont="1" applyFill="1" applyBorder="1" applyAlignment="1" applyProtection="1">
      <alignment horizontal="center" vertical="center"/>
      <protection locked="0"/>
    </xf>
    <xf numFmtId="176" fontId="5" fillId="32" borderId="11" xfId="0" applyNumberFormat="1" applyFont="1" applyFill="1" applyBorder="1" applyAlignment="1" applyProtection="1">
      <alignment horizontal="right" vertical="center"/>
      <protection locked="0"/>
    </xf>
    <xf numFmtId="176" fontId="7" fillId="32" borderId="42" xfId="0" applyNumberFormat="1" applyFont="1" applyFill="1" applyBorder="1" applyAlignment="1" applyProtection="1">
      <alignment horizontal="left" vertical="center"/>
      <protection locked="0"/>
    </xf>
    <xf numFmtId="10" fontId="20" fillId="32" borderId="23" xfId="68" applyNumberFormat="1" applyFont="1" applyFill="1" applyBorder="1" applyAlignment="1" applyProtection="1">
      <alignment horizontal="center" vertical="center"/>
      <protection locked="0"/>
    </xf>
    <xf numFmtId="10" fontId="20" fillId="32" borderId="43" xfId="68" applyNumberFormat="1" applyFont="1" applyFill="1" applyBorder="1" applyAlignment="1" applyProtection="1">
      <alignment horizontal="center" vertical="center"/>
      <protection locked="0"/>
    </xf>
    <xf numFmtId="9" fontId="20" fillId="32" borderId="23" xfId="68" applyNumberFormat="1" applyFont="1" applyFill="1" applyBorder="1" applyAlignment="1" applyProtection="1">
      <alignment horizontal="center" vertical="center"/>
      <protection locked="0"/>
    </xf>
    <xf numFmtId="10" fontId="7" fillId="32" borderId="23" xfId="68" applyNumberFormat="1" applyFont="1" applyFill="1" applyBorder="1" applyAlignment="1" applyProtection="1">
      <alignment horizontal="center" vertical="center"/>
      <protection locked="0"/>
    </xf>
    <xf numFmtId="10" fontId="7" fillId="32" borderId="43" xfId="68" applyNumberFormat="1" applyFont="1" applyFill="1" applyBorder="1" applyAlignment="1" applyProtection="1">
      <alignment horizontal="center" vertical="center"/>
      <protection locked="0"/>
    </xf>
    <xf numFmtId="176" fontId="7" fillId="32" borderId="20" xfId="0" applyNumberFormat="1" applyFont="1" applyFill="1" applyBorder="1" applyAlignment="1" applyProtection="1">
      <alignment horizontal="left" vertical="center"/>
      <protection locked="0"/>
    </xf>
    <xf numFmtId="176" fontId="7" fillId="32" borderId="21" xfId="0" applyNumberFormat="1" applyFont="1" applyFill="1" applyBorder="1" applyAlignment="1" applyProtection="1">
      <alignment horizontal="left" vertical="center"/>
      <protection locked="0"/>
    </xf>
    <xf numFmtId="176" fontId="7" fillId="32" borderId="25" xfId="0" applyNumberFormat="1" applyFont="1" applyFill="1" applyBorder="1" applyAlignment="1" applyProtection="1">
      <alignment horizontal="left" vertical="center"/>
      <protection locked="0"/>
    </xf>
    <xf numFmtId="176" fontId="5" fillId="32" borderId="44" xfId="0" applyNumberFormat="1" applyFont="1" applyFill="1" applyBorder="1" applyAlignment="1" applyProtection="1">
      <alignment horizontal="right" vertical="center"/>
      <protection locked="0"/>
    </xf>
    <xf numFmtId="176" fontId="7" fillId="32" borderId="27" xfId="0" applyNumberFormat="1" applyFont="1" applyFill="1" applyBorder="1" applyAlignment="1" applyProtection="1">
      <alignment horizontal="left" vertical="center"/>
      <protection locked="0"/>
    </xf>
    <xf numFmtId="176" fontId="7" fillId="32" borderId="26" xfId="0" applyNumberFormat="1" applyFont="1" applyFill="1" applyBorder="1" applyAlignment="1" applyProtection="1">
      <alignment horizontal="left" vertical="center"/>
      <protection locked="0"/>
    </xf>
    <xf numFmtId="176" fontId="15" fillId="32" borderId="39" xfId="0" applyNumberFormat="1" applyFont="1" applyFill="1" applyBorder="1" applyAlignment="1" applyProtection="1">
      <alignment horizontal="right" vertical="center"/>
      <protection locked="0"/>
    </xf>
    <xf numFmtId="176" fontId="5" fillId="32" borderId="25" xfId="0" applyNumberFormat="1" applyFont="1" applyFill="1" applyBorder="1" applyAlignment="1" applyProtection="1">
      <alignment horizontal="right" vertical="center"/>
      <protection locked="0"/>
    </xf>
    <xf numFmtId="176" fontId="22" fillId="32" borderId="11" xfId="0" applyNumberFormat="1" applyFont="1" applyFill="1" applyBorder="1" applyAlignment="1" applyProtection="1">
      <alignment horizontal="right" vertical="center"/>
      <protection locked="0"/>
    </xf>
    <xf numFmtId="176" fontId="22" fillId="32" borderId="24" xfId="0" applyNumberFormat="1" applyFont="1" applyFill="1" applyBorder="1" applyAlignment="1" applyProtection="1">
      <alignment horizontal="right" vertical="center"/>
      <protection locked="0"/>
    </xf>
    <xf numFmtId="176" fontId="22" fillId="42" borderId="24" xfId="0" applyNumberFormat="1" applyFont="1" applyFill="1" applyBorder="1" applyAlignment="1" applyProtection="1">
      <alignment horizontal="right" vertical="center"/>
      <protection locked="0"/>
    </xf>
    <xf numFmtId="176" fontId="7" fillId="32" borderId="45" xfId="0" applyNumberFormat="1" applyFont="1" applyFill="1" applyBorder="1" applyAlignment="1" applyProtection="1">
      <alignment horizontal="left" vertical="center"/>
      <protection locked="0"/>
    </xf>
    <xf numFmtId="176" fontId="7" fillId="32" borderId="44" xfId="0" applyNumberFormat="1" applyFont="1" applyFill="1" applyBorder="1" applyAlignment="1" applyProtection="1">
      <alignment horizontal="left" vertical="center"/>
      <protection locked="0"/>
    </xf>
    <xf numFmtId="176" fontId="5" fillId="32" borderId="24" xfId="0" applyNumberFormat="1" applyFont="1" applyFill="1" applyBorder="1" applyAlignment="1" applyProtection="1">
      <alignment horizontal="right" vertical="center"/>
      <protection locked="0"/>
    </xf>
    <xf numFmtId="176" fontId="15" fillId="32" borderId="26" xfId="0" applyNumberFormat="1" applyFont="1" applyFill="1" applyBorder="1" applyAlignment="1" applyProtection="1">
      <alignment horizontal="right" vertical="center"/>
      <protection locked="0"/>
    </xf>
    <xf numFmtId="49" fontId="7" fillId="32" borderId="11" xfId="0" applyNumberFormat="1" applyFont="1" applyFill="1" applyBorder="1" applyAlignment="1" applyProtection="1">
      <alignment horizontal="left" vertical="center"/>
      <protection locked="0"/>
    </xf>
    <xf numFmtId="176" fontId="20" fillId="32" borderId="11" xfId="0" applyNumberFormat="1" applyFont="1" applyFill="1" applyBorder="1" applyAlignment="1" applyProtection="1">
      <alignment horizontal="right" vertical="center"/>
      <protection locked="0"/>
    </xf>
    <xf numFmtId="176" fontId="2" fillId="32" borderId="10" xfId="0" applyNumberFormat="1" applyFont="1" applyFill="1" applyBorder="1" applyAlignment="1" applyProtection="1">
      <alignment horizontal="left" vertical="center"/>
      <protection locked="0"/>
    </xf>
    <xf numFmtId="176" fontId="5" fillId="32" borderId="44" xfId="0" applyNumberFormat="1" applyFont="1" applyFill="1" applyBorder="1" applyAlignment="1" applyProtection="1">
      <alignment horizontal="left" vertical="center"/>
      <protection locked="0"/>
    </xf>
    <xf numFmtId="176" fontId="7" fillId="32" borderId="15" xfId="0" applyNumberFormat="1" applyFont="1" applyFill="1" applyBorder="1" applyAlignment="1" applyProtection="1">
      <alignment horizontal="left" vertical="center"/>
      <protection locked="0"/>
    </xf>
    <xf numFmtId="176" fontId="7" fillId="32" borderId="46" xfId="0" applyNumberFormat="1" applyFont="1" applyFill="1" applyBorder="1" applyAlignment="1" applyProtection="1">
      <alignment horizontal="left" vertical="center"/>
      <protection locked="0"/>
    </xf>
    <xf numFmtId="176" fontId="7" fillId="32" borderId="13" xfId="0" applyNumberFormat="1" applyFont="1" applyFill="1" applyBorder="1" applyAlignment="1" applyProtection="1">
      <alignment horizontal="left" vertical="center"/>
      <protection locked="0"/>
    </xf>
    <xf numFmtId="176" fontId="15" fillId="32" borderId="13" xfId="0" applyNumberFormat="1" applyFont="1" applyFill="1" applyBorder="1" applyAlignment="1" applyProtection="1">
      <alignment horizontal="right" vertical="center"/>
      <protection locked="0"/>
    </xf>
    <xf numFmtId="176" fontId="3" fillId="33" borderId="3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21" fillId="33" borderId="31" xfId="0" applyFont="1" applyFill="1" applyBorder="1" applyAlignment="1">
      <alignment horizontal="center" vertical="center" wrapText="1" shrinkToFit="1"/>
    </xf>
    <xf numFmtId="174" fontId="7" fillId="32" borderId="34" xfId="50" applyNumberFormat="1" applyFont="1" applyFill="1" applyBorder="1" applyAlignment="1" applyProtection="1">
      <alignment horizontal="right" vertical="center"/>
      <protection locked="0"/>
    </xf>
    <xf numFmtId="174" fontId="7" fillId="32" borderId="35" xfId="50" applyNumberFormat="1" applyFont="1" applyFill="1" applyBorder="1" applyAlignment="1" applyProtection="1">
      <alignment horizontal="right" vertical="center"/>
      <protection locked="0"/>
    </xf>
    <xf numFmtId="176" fontId="5" fillId="40" borderId="32" xfId="0" applyNumberFormat="1" applyFont="1" applyFill="1" applyBorder="1" applyAlignment="1" applyProtection="1">
      <alignment horizontal="right" vertical="center"/>
      <protection locked="0"/>
    </xf>
    <xf numFmtId="174" fontId="3" fillId="33" borderId="30" xfId="50" applyNumberFormat="1" applyFont="1" applyFill="1" applyBorder="1" applyAlignment="1" applyProtection="1">
      <alignment horizontal="center" vertical="center"/>
      <protection locked="0"/>
    </xf>
    <xf numFmtId="10" fontId="1" fillId="0" borderId="21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0" fontId="1" fillId="0" borderId="28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6" xfId="0" applyNumberFormat="1" applyFont="1" applyBorder="1" applyAlignment="1">
      <alignment/>
    </xf>
    <xf numFmtId="0" fontId="76" fillId="43" borderId="20" xfId="0" applyFont="1" applyFill="1" applyBorder="1" applyAlignment="1">
      <alignment horizontal="center" vertical="center"/>
    </xf>
    <xf numFmtId="0" fontId="76" fillId="43" borderId="21" xfId="0" applyFont="1" applyFill="1" applyBorder="1" applyAlignment="1">
      <alignment horizontal="center" vertical="center"/>
    </xf>
    <xf numFmtId="0" fontId="76" fillId="43" borderId="25" xfId="0" applyFont="1" applyFill="1" applyBorder="1" applyAlignment="1">
      <alignment horizontal="center" vertical="center"/>
    </xf>
    <xf numFmtId="176" fontId="1" fillId="14" borderId="0" xfId="0" applyNumberFormat="1" applyFont="1" applyFill="1" applyAlignment="1">
      <alignment vertical="center"/>
    </xf>
    <xf numFmtId="0" fontId="1" fillId="14" borderId="0" xfId="0" applyFont="1" applyFill="1" applyAlignment="1">
      <alignment horizontal="center" vertical="center"/>
    </xf>
    <xf numFmtId="9" fontId="77" fillId="0" borderId="0" xfId="0" applyNumberFormat="1" applyFont="1" applyFill="1" applyBorder="1" applyAlignment="1">
      <alignment horizontal="center" vertical="center" wrapText="1"/>
    </xf>
    <xf numFmtId="176" fontId="77" fillId="0" borderId="0" xfId="50" applyNumberFormat="1" applyFont="1" applyFill="1" applyBorder="1" applyAlignment="1">
      <alignment horizontal="center" vertical="center"/>
    </xf>
    <xf numFmtId="176" fontId="71" fillId="34" borderId="16" xfId="50" applyNumberFormat="1" applyFont="1" applyFill="1" applyBorder="1" applyAlignment="1">
      <alignment horizontal="right" vertical="center"/>
    </xf>
    <xf numFmtId="176" fontId="71" fillId="34" borderId="22" xfId="50" applyNumberFormat="1" applyFont="1" applyFill="1" applyBorder="1" applyAlignment="1">
      <alignment horizontal="right" vertical="center"/>
    </xf>
    <xf numFmtId="49" fontId="78" fillId="44" borderId="0" xfId="0" applyNumberFormat="1" applyFont="1" applyFill="1" applyAlignment="1">
      <alignment horizontal="left"/>
    </xf>
    <xf numFmtId="174" fontId="78" fillId="44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74" fontId="3" fillId="42" borderId="0" xfId="0" applyNumberFormat="1" applyFont="1" applyFill="1" applyAlignment="1">
      <alignment horizontal="right"/>
    </xf>
    <xf numFmtId="174" fontId="2" fillId="0" borderId="0" xfId="0" applyNumberFormat="1" applyFont="1" applyAlignment="1">
      <alignment/>
    </xf>
    <xf numFmtId="176" fontId="17" fillId="34" borderId="27" xfId="50" applyNumberFormat="1" applyFont="1" applyFill="1" applyBorder="1" applyAlignment="1">
      <alignment horizontal="left" vertical="center"/>
    </xf>
    <xf numFmtId="10" fontId="17" fillId="34" borderId="28" xfId="68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174" fontId="2" fillId="0" borderId="0" xfId="5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8" borderId="20" xfId="5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4" fontId="2" fillId="8" borderId="17" xfId="50" applyNumberFormat="1" applyFont="1" applyFill="1" applyBorder="1" applyAlignment="1">
      <alignment horizontal="center" vertical="center" wrapText="1"/>
    </xf>
    <xf numFmtId="174" fontId="2" fillId="8" borderId="19" xfId="5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174" fontId="2" fillId="0" borderId="17" xfId="50" applyNumberFormat="1" applyFont="1" applyBorder="1" applyAlignment="1">
      <alignment vertical="center"/>
    </xf>
    <xf numFmtId="174" fontId="2" fillId="0" borderId="19" xfId="50" applyNumberFormat="1" applyFont="1" applyBorder="1" applyAlignment="1">
      <alignment vertical="center"/>
    </xf>
    <xf numFmtId="174" fontId="2" fillId="13" borderId="19" xfId="50" applyNumberFormat="1" applyFont="1" applyFill="1" applyBorder="1" applyAlignment="1">
      <alignment vertical="center"/>
    </xf>
    <xf numFmtId="174" fontId="3" fillId="45" borderId="30" xfId="0" applyNumberFormat="1" applyFont="1" applyFill="1" applyBorder="1" applyAlignment="1">
      <alignment vertical="center"/>
    </xf>
    <xf numFmtId="174" fontId="70" fillId="0" borderId="36" xfId="0" applyNumberFormat="1" applyFont="1" applyBorder="1" applyAlignment="1">
      <alignment vertical="center"/>
    </xf>
    <xf numFmtId="174" fontId="70" fillId="0" borderId="0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4" fontId="70" fillId="0" borderId="0" xfId="0" applyNumberFormat="1" applyFont="1" applyAlignment="1">
      <alignment vertical="center"/>
    </xf>
    <xf numFmtId="10" fontId="2" fillId="8" borderId="16" xfId="68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174" fontId="2" fillId="8" borderId="18" xfId="50" applyNumberFormat="1" applyFont="1" applyFill="1" applyBorder="1" applyAlignment="1">
      <alignment horizontal="center" vertical="center" wrapText="1"/>
    </xf>
    <xf numFmtId="174" fontId="2" fillId="0" borderId="18" xfId="0" applyNumberFormat="1" applyFont="1" applyBorder="1" applyAlignment="1">
      <alignment vertical="center"/>
    </xf>
    <xf numFmtId="174" fontId="2" fillId="0" borderId="29" xfId="50" applyNumberFormat="1" applyFont="1" applyBorder="1" applyAlignment="1">
      <alignment vertical="center"/>
    </xf>
    <xf numFmtId="174" fontId="2" fillId="45" borderId="28" xfId="50" applyNumberFormat="1" applyFont="1" applyFill="1" applyBorder="1" applyAlignment="1">
      <alignment vertical="center"/>
    </xf>
    <xf numFmtId="174" fontId="71" fillId="13" borderId="28" xfId="50" applyNumberFormat="1" applyFont="1" applyFill="1" applyBorder="1" applyAlignment="1">
      <alignment vertical="center"/>
    </xf>
    <xf numFmtId="174" fontId="70" fillId="0" borderId="28" xfId="50" applyNumberFormat="1" applyFont="1" applyFill="1" applyBorder="1" applyAlignment="1">
      <alignment vertical="center"/>
    </xf>
    <xf numFmtId="174" fontId="70" fillId="45" borderId="29" xfId="50" applyNumberFormat="1" applyFont="1" applyFill="1" applyBorder="1" applyAlignment="1">
      <alignment vertical="center"/>
    </xf>
    <xf numFmtId="174" fontId="2" fillId="0" borderId="26" xfId="50" applyNumberFormat="1" applyFont="1" applyBorder="1" applyAlignment="1">
      <alignment vertical="center"/>
    </xf>
    <xf numFmtId="0" fontId="2" fillId="46" borderId="17" xfId="0" applyFont="1" applyFill="1" applyBorder="1" applyAlignment="1">
      <alignment horizontal="center" vertical="center"/>
    </xf>
    <xf numFmtId="0" fontId="2" fillId="46" borderId="36" xfId="0" applyFont="1" applyFill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74" fontId="2" fillId="0" borderId="25" xfId="0" applyNumberFormat="1" applyFont="1" applyBorder="1" applyAlignment="1">
      <alignment vertical="center"/>
    </xf>
    <xf numFmtId="0" fontId="2" fillId="46" borderId="17" xfId="0" applyFont="1" applyFill="1" applyBorder="1" applyAlignment="1">
      <alignment vertical="center"/>
    </xf>
    <xf numFmtId="14" fontId="2" fillId="0" borderId="23" xfId="0" applyNumberFormat="1" applyFont="1" applyBorder="1" applyAlignment="1">
      <alignment horizontal="center" vertical="center"/>
    </xf>
    <xf numFmtId="174" fontId="2" fillId="0" borderId="24" xfId="0" applyNumberFormat="1" applyFont="1" applyBorder="1" applyAlignment="1">
      <alignment vertical="center"/>
    </xf>
    <xf numFmtId="0" fontId="2" fillId="46" borderId="27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 vertical="center"/>
    </xf>
    <xf numFmtId="0" fontId="2" fillId="46" borderId="28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4" fontId="2" fillId="0" borderId="23" xfId="50" applyNumberFormat="1" applyFont="1" applyFill="1" applyBorder="1" applyAlignment="1">
      <alignment vertical="center"/>
    </xf>
    <xf numFmtId="174" fontId="2" fillId="0" borderId="23" xfId="0" applyNumberFormat="1" applyFont="1" applyBorder="1" applyAlignment="1">
      <alignment vertical="center"/>
    </xf>
    <xf numFmtId="174" fontId="2" fillId="0" borderId="25" xfId="50" applyNumberFormat="1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4" fontId="2" fillId="0" borderId="24" xfId="50" applyNumberFormat="1" applyFont="1" applyBorder="1" applyAlignment="1">
      <alignment vertical="center"/>
    </xf>
    <xf numFmtId="14" fontId="2" fillId="0" borderId="27" xfId="0" applyNumberFormat="1" applyFont="1" applyBorder="1" applyAlignment="1">
      <alignment horizontal="center" vertical="center"/>
    </xf>
    <xf numFmtId="174" fontId="14" fillId="0" borderId="24" xfId="50" applyNumberFormat="1" applyFont="1" applyBorder="1" applyAlignment="1">
      <alignment vertical="center"/>
    </xf>
    <xf numFmtId="174" fontId="79" fillId="0" borderId="0" xfId="50" applyNumberFormat="1" applyFont="1" applyBorder="1" applyAlignment="1">
      <alignment vertical="center"/>
    </xf>
    <xf numFmtId="174" fontId="79" fillId="0" borderId="0" xfId="0" applyNumberFormat="1" applyFont="1" applyBorder="1" applyAlignment="1">
      <alignment vertical="center"/>
    </xf>
    <xf numFmtId="174" fontId="2" fillId="46" borderId="17" xfId="0" applyNumberFormat="1" applyFont="1" applyFill="1" applyBorder="1" applyAlignment="1">
      <alignment vertical="center"/>
    </xf>
    <xf numFmtId="174" fontId="2" fillId="46" borderId="19" xfId="0" applyNumberFormat="1" applyFont="1" applyFill="1" applyBorder="1" applyAlignment="1">
      <alignment vertical="center"/>
    </xf>
    <xf numFmtId="174" fontId="2" fillId="46" borderId="36" xfId="0" applyNumberFormat="1" applyFont="1" applyFill="1" applyBorder="1" applyAlignment="1">
      <alignment vertical="center"/>
    </xf>
    <xf numFmtId="0" fontId="2" fillId="46" borderId="18" xfId="0" applyFont="1" applyFill="1" applyBorder="1" applyAlignment="1">
      <alignment vertical="center"/>
    </xf>
    <xf numFmtId="0" fontId="2" fillId="46" borderId="0" xfId="0" applyFont="1" applyFill="1" applyBorder="1" applyAlignment="1">
      <alignment vertical="center"/>
    </xf>
    <xf numFmtId="174" fontId="2" fillId="46" borderId="18" xfId="0" applyNumberFormat="1" applyFont="1" applyFill="1" applyBorder="1" applyAlignment="1">
      <alignment vertical="center"/>
    </xf>
    <xf numFmtId="174" fontId="71" fillId="46" borderId="18" xfId="0" applyNumberFormat="1" applyFont="1" applyFill="1" applyBorder="1" applyAlignment="1">
      <alignment vertical="center"/>
    </xf>
    <xf numFmtId="174" fontId="3" fillId="46" borderId="18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46" borderId="19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44" fontId="80" fillId="0" borderId="0" xfId="0" applyNumberFormat="1" applyFont="1" applyFill="1" applyBorder="1" applyAlignment="1">
      <alignment vertical="center"/>
    </xf>
    <xf numFmtId="44" fontId="81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174" fontId="2" fillId="0" borderId="14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4" fontId="2" fillId="8" borderId="36" xfId="50" applyNumberFormat="1" applyFont="1" applyFill="1" applyBorder="1" applyAlignment="1">
      <alignment horizontal="center" vertical="center" wrapText="1"/>
    </xf>
    <xf numFmtId="174" fontId="2" fillId="45" borderId="19" xfId="50" applyNumberFormat="1" applyFont="1" applyFill="1" applyBorder="1" applyAlignment="1">
      <alignment vertical="center"/>
    </xf>
    <xf numFmtId="174" fontId="2" fillId="0" borderId="36" xfId="5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0" fontId="2" fillId="8" borderId="18" xfId="68" applyNumberFormat="1" applyFont="1" applyFill="1" applyBorder="1" applyAlignment="1">
      <alignment horizontal="center" vertical="center"/>
    </xf>
    <xf numFmtId="0" fontId="2" fillId="46" borderId="21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74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4" fontId="2" fillId="8" borderId="27" xfId="50" applyNumberFormat="1" applyFont="1" applyFill="1" applyBorder="1" applyAlignment="1">
      <alignment horizontal="center" vertical="center" wrapText="1"/>
    </xf>
    <xf numFmtId="174" fontId="2" fillId="8" borderId="28" xfId="50" applyNumberFormat="1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174" fontId="2" fillId="8" borderId="26" xfId="5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vertical="center"/>
    </xf>
    <xf numFmtId="174" fontId="2" fillId="45" borderId="18" xfId="50" applyNumberFormat="1" applyFont="1" applyFill="1" applyBorder="1" applyAlignment="1">
      <alignment vertical="center"/>
    </xf>
    <xf numFmtId="174" fontId="3" fillId="45" borderId="30" xfId="50" applyNumberFormat="1" applyFont="1" applyFill="1" applyBorder="1" applyAlignment="1">
      <alignment vertical="center"/>
    </xf>
    <xf numFmtId="174" fontId="2" fillId="0" borderId="0" xfId="50" applyNumberFormat="1" applyFont="1" applyAlignment="1">
      <alignment horizontal="right" vertical="center"/>
    </xf>
    <xf numFmtId="174" fontId="2" fillId="0" borderId="18" xfId="50" applyNumberFormat="1" applyFont="1" applyBorder="1" applyAlignment="1">
      <alignment vertical="center"/>
    </xf>
    <xf numFmtId="174" fontId="14" fillId="0" borderId="21" xfId="50" applyNumberFormat="1" applyFont="1" applyBorder="1" applyAlignment="1">
      <alignment vertical="center"/>
    </xf>
    <xf numFmtId="174" fontId="79" fillId="0" borderId="21" xfId="50" applyNumberFormat="1" applyFont="1" applyBorder="1" applyAlignment="1">
      <alignment vertical="center"/>
    </xf>
    <xf numFmtId="174" fontId="71" fillId="0" borderId="25" xfId="0" applyNumberFormat="1" applyFont="1" applyBorder="1" applyAlignment="1">
      <alignment vertical="center"/>
    </xf>
    <xf numFmtId="174" fontId="71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174" fontId="14" fillId="0" borderId="0" xfId="50" applyNumberFormat="1" applyFont="1" applyBorder="1" applyAlignment="1">
      <alignment vertical="center"/>
    </xf>
    <xf numFmtId="174" fontId="71" fillId="0" borderId="24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74" fontId="14" fillId="0" borderId="28" xfId="50" applyNumberFormat="1" applyFont="1" applyBorder="1" applyAlignment="1">
      <alignment vertical="center"/>
    </xf>
    <xf numFmtId="174" fontId="79" fillId="0" borderId="28" xfId="50" applyNumberFormat="1" applyFont="1" applyBorder="1" applyAlignment="1">
      <alignment vertical="center"/>
    </xf>
    <xf numFmtId="174" fontId="71" fillId="0" borderId="26" xfId="0" applyNumberFormat="1" applyFont="1" applyBorder="1" applyAlignment="1">
      <alignment vertical="center"/>
    </xf>
    <xf numFmtId="174" fontId="14" fillId="0" borderId="0" xfId="0" applyNumberFormat="1" applyFont="1" applyBorder="1" applyAlignment="1">
      <alignment vertical="center"/>
    </xf>
    <xf numFmtId="174" fontId="71" fillId="0" borderId="16" xfId="0" applyNumberFormat="1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174" fontId="79" fillId="0" borderId="21" xfId="0" applyNumberFormat="1" applyFont="1" applyBorder="1" applyAlignment="1">
      <alignment vertical="center"/>
    </xf>
    <xf numFmtId="174" fontId="71" fillId="0" borderId="22" xfId="0" applyNumberFormat="1" applyFont="1" applyBorder="1" applyAlignment="1">
      <alignment vertical="center"/>
    </xf>
    <xf numFmtId="174" fontId="79" fillId="0" borderId="28" xfId="0" applyNumberFormat="1" applyFont="1" applyBorder="1" applyAlignment="1">
      <alignment vertical="center"/>
    </xf>
    <xf numFmtId="174" fontId="71" fillId="0" borderId="29" xfId="0" applyNumberFormat="1" applyFont="1" applyBorder="1" applyAlignment="1">
      <alignment vertical="center"/>
    </xf>
    <xf numFmtId="174" fontId="71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74" fontId="70" fillId="0" borderId="28" xfId="0" applyNumberFormat="1" applyFont="1" applyBorder="1" applyAlignment="1">
      <alignment vertical="center"/>
    </xf>
    <xf numFmtId="174" fontId="71" fillId="0" borderId="28" xfId="0" applyNumberFormat="1" applyFont="1" applyBorder="1" applyAlignment="1">
      <alignment horizontal="center" vertical="center"/>
    </xf>
    <xf numFmtId="174" fontId="71" fillId="0" borderId="26" xfId="0" applyNumberFormat="1" applyFont="1" applyBorder="1" applyAlignment="1">
      <alignment horizontal="center" vertical="center"/>
    </xf>
    <xf numFmtId="174" fontId="71" fillId="0" borderId="0" xfId="50" applyNumberFormat="1" applyFont="1" applyBorder="1" applyAlignment="1">
      <alignment vertical="center"/>
    </xf>
    <xf numFmtId="174" fontId="71" fillId="0" borderId="24" xfId="50" applyNumberFormat="1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0" xfId="0" applyFont="1" applyAlignment="1">
      <alignment vertical="center"/>
    </xf>
    <xf numFmtId="174" fontId="3" fillId="0" borderId="0" xfId="0" applyNumberFormat="1" applyFont="1" applyBorder="1" applyAlignment="1">
      <alignment vertical="center"/>
    </xf>
    <xf numFmtId="174" fontId="2" fillId="0" borderId="26" xfId="0" applyNumberFormat="1" applyFont="1" applyBorder="1" applyAlignment="1">
      <alignment vertical="center"/>
    </xf>
    <xf numFmtId="174" fontId="3" fillId="0" borderId="29" xfId="0" applyNumberFormat="1" applyFont="1" applyBorder="1" applyAlignment="1">
      <alignment vertical="center"/>
    </xf>
    <xf numFmtId="17" fontId="2" fillId="0" borderId="0" xfId="0" applyNumberFormat="1" applyFont="1" applyAlignment="1">
      <alignment vertical="center"/>
    </xf>
    <xf numFmtId="174" fontId="71" fillId="0" borderId="0" xfId="53" applyNumberFormat="1" applyFont="1" applyAlignment="1">
      <alignment horizontal="right"/>
    </xf>
    <xf numFmtId="174" fontId="71" fillId="0" borderId="17" xfId="50" applyNumberFormat="1" applyFont="1" applyBorder="1" applyAlignment="1">
      <alignment vertical="center"/>
    </xf>
    <xf numFmtId="14" fontId="2" fillId="0" borderId="2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4" fontId="60" fillId="0" borderId="0" xfId="54" applyFont="1" applyAlignment="1">
      <alignment horizontal="right"/>
    </xf>
    <xf numFmtId="44" fontId="60" fillId="0" borderId="0" xfId="54" applyFont="1" applyAlignment="1">
      <alignment horizontal="right"/>
    </xf>
    <xf numFmtId="0" fontId="71" fillId="45" borderId="0" xfId="0" applyFont="1" applyFill="1" applyAlignment="1">
      <alignment/>
    </xf>
    <xf numFmtId="49" fontId="60" fillId="0" borderId="0" xfId="64" applyNumberFormat="1" applyAlignment="1">
      <alignment horizontal="left"/>
      <protection/>
    </xf>
    <xf numFmtId="1" fontId="71" fillId="0" borderId="0" xfId="0" applyNumberFormat="1" applyFont="1" applyAlignment="1">
      <alignment horizontal="right"/>
    </xf>
    <xf numFmtId="49" fontId="71" fillId="0" borderId="0" xfId="0" applyNumberFormat="1" applyFont="1" applyAlignment="1">
      <alignment horizontal="left"/>
    </xf>
    <xf numFmtId="1" fontId="71" fillId="0" borderId="0" xfId="64" applyNumberFormat="1" applyFont="1" applyAlignment="1">
      <alignment horizontal="right"/>
      <protection/>
    </xf>
    <xf numFmtId="49" fontId="71" fillId="0" borderId="0" xfId="64" applyNumberFormat="1" applyFont="1" applyAlignment="1">
      <alignment horizontal="left"/>
      <protection/>
    </xf>
    <xf numFmtId="49" fontId="60" fillId="0" borderId="0" xfId="64" applyNumberFormat="1" applyAlignment="1">
      <alignment horizontal="left"/>
      <protection/>
    </xf>
    <xf numFmtId="1" fontId="60" fillId="0" borderId="0" xfId="64" applyNumberFormat="1" applyAlignment="1">
      <alignment horizontal="right"/>
      <protection/>
    </xf>
    <xf numFmtId="49" fontId="60" fillId="0" borderId="0" xfId="64" applyNumberFormat="1" applyAlignment="1">
      <alignment horizontal="left"/>
      <protection/>
    </xf>
    <xf numFmtId="1" fontId="60" fillId="0" borderId="0" xfId="64" applyNumberFormat="1" applyAlignment="1">
      <alignment horizontal="right"/>
      <protection/>
    </xf>
    <xf numFmtId="44" fontId="60" fillId="0" borderId="0" xfId="62" applyFont="1" applyAlignment="1">
      <alignment horizontal="right"/>
    </xf>
    <xf numFmtId="176" fontId="0" fillId="0" borderId="0" xfId="0" applyNumberFormat="1" applyAlignment="1">
      <alignment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37" borderId="16" xfId="0" applyFont="1" applyFill="1" applyBorder="1" applyAlignment="1">
      <alignment horizontal="center" vertical="center" textRotation="255"/>
    </xf>
    <xf numFmtId="0" fontId="2" fillId="37" borderId="22" xfId="0" applyFont="1" applyFill="1" applyBorder="1" applyAlignment="1">
      <alignment horizontal="center" vertical="center" textRotation="255"/>
    </xf>
    <xf numFmtId="0" fontId="2" fillId="37" borderId="29" xfId="0" applyFont="1" applyFill="1" applyBorder="1" applyAlignment="1">
      <alignment horizontal="center" vertical="center" textRotation="255"/>
    </xf>
    <xf numFmtId="0" fontId="2" fillId="37" borderId="16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textRotation="91"/>
    </xf>
    <xf numFmtId="0" fontId="2" fillId="37" borderId="22" xfId="0" applyFont="1" applyFill="1" applyBorder="1" applyAlignment="1">
      <alignment horizontal="center" vertical="center" textRotation="91"/>
    </xf>
    <xf numFmtId="0" fontId="2" fillId="37" borderId="29" xfId="0" applyFont="1" applyFill="1" applyBorder="1" applyAlignment="1">
      <alignment horizontal="center" vertical="center" textRotation="91"/>
    </xf>
    <xf numFmtId="0" fontId="6" fillId="36" borderId="17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73" fillId="39" borderId="16" xfId="0" applyFont="1" applyFill="1" applyBorder="1" applyAlignment="1">
      <alignment horizontal="center" vertical="center" textRotation="255"/>
    </xf>
    <xf numFmtId="0" fontId="73" fillId="39" borderId="22" xfId="0" applyFont="1" applyFill="1" applyBorder="1" applyAlignment="1">
      <alignment horizontal="center" vertical="center" textRotation="255"/>
    </xf>
    <xf numFmtId="0" fontId="73" fillId="39" borderId="29" xfId="0" applyFont="1" applyFill="1" applyBorder="1" applyAlignment="1">
      <alignment horizontal="center" vertical="center" textRotation="255"/>
    </xf>
    <xf numFmtId="0" fontId="73" fillId="39" borderId="17" xfId="0" applyFont="1" applyFill="1" applyBorder="1" applyAlignment="1">
      <alignment horizontal="center" vertical="center"/>
    </xf>
    <xf numFmtId="0" fontId="73" fillId="39" borderId="36" xfId="0" applyFont="1" applyFill="1" applyBorder="1" applyAlignment="1">
      <alignment horizontal="center" vertical="center"/>
    </xf>
    <xf numFmtId="0" fontId="83" fillId="39" borderId="17" xfId="0" applyFont="1" applyFill="1" applyBorder="1" applyAlignment="1">
      <alignment horizontal="center" vertical="center"/>
    </xf>
    <xf numFmtId="0" fontId="83" fillId="39" borderId="19" xfId="0" applyFont="1" applyFill="1" applyBorder="1" applyAlignment="1">
      <alignment horizontal="center" vertical="center"/>
    </xf>
    <xf numFmtId="0" fontId="83" fillId="39" borderId="3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176" fontId="7" fillId="32" borderId="14" xfId="0" applyNumberFormat="1" applyFont="1" applyFill="1" applyBorder="1" applyAlignment="1" applyProtection="1">
      <alignment horizontal="left" vertical="center"/>
      <protection locked="0"/>
    </xf>
    <xf numFmtId="176" fontId="7" fillId="32" borderId="48" xfId="0" applyNumberFormat="1" applyFont="1" applyFill="1" applyBorder="1" applyAlignment="1" applyProtection="1">
      <alignment horizontal="left" vertical="center"/>
      <protection locked="0"/>
    </xf>
    <xf numFmtId="176" fontId="7" fillId="32" borderId="12" xfId="0" applyNumberFormat="1" applyFont="1" applyFill="1" applyBorder="1" applyAlignment="1" applyProtection="1">
      <alignment horizontal="left" vertical="center"/>
      <protection locked="0"/>
    </xf>
    <xf numFmtId="0" fontId="2" fillId="46" borderId="17" xfId="0" applyFont="1" applyFill="1" applyBorder="1" applyAlignment="1">
      <alignment horizontal="center" vertical="center"/>
    </xf>
    <xf numFmtId="0" fontId="2" fillId="46" borderId="36" xfId="0" applyFont="1" applyFill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2" fillId="46" borderId="21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/>
    </xf>
    <xf numFmtId="0" fontId="2" fillId="46" borderId="23" xfId="0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27" xfId="0" applyFont="1" applyFill="1" applyBorder="1" applyAlignment="1">
      <alignment horizontal="center" vertical="center"/>
    </xf>
    <xf numFmtId="0" fontId="2" fillId="46" borderId="28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46" borderId="19" xfId="0" applyFont="1" applyFill="1" applyBorder="1" applyAlignment="1">
      <alignment horizontal="center" vertical="center"/>
    </xf>
    <xf numFmtId="0" fontId="6" fillId="41" borderId="31" xfId="0" applyFont="1" applyFill="1" applyBorder="1" applyAlignment="1">
      <alignment horizontal="center" vertical="center" wrapText="1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3" fillId="43" borderId="18" xfId="0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11" xfId="52"/>
    <cellStyle name="Moneda 13" xfId="53"/>
    <cellStyle name="Moneda 13 2" xfId="54"/>
    <cellStyle name="Moneda 2" xfId="55"/>
    <cellStyle name="Moneda 2 2" xfId="56"/>
    <cellStyle name="Moneda 3" xfId="57"/>
    <cellStyle name="Moneda 4" xfId="58"/>
    <cellStyle name="Moneda 5" xfId="59"/>
    <cellStyle name="Moneda 6" xfId="60"/>
    <cellStyle name="Moneda 7" xfId="61"/>
    <cellStyle name="Moneda 8" xfId="62"/>
    <cellStyle name="Neutral" xfId="63"/>
    <cellStyle name="Normal 2" xfId="64"/>
    <cellStyle name="Normal 3" xfId="65"/>
    <cellStyle name="Notas" xfId="66"/>
    <cellStyle name="Porcentaje 2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17</xdr:col>
      <xdr:colOff>323850</xdr:colOff>
      <xdr:row>13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43075"/>
          <a:ext cx="3238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baada87bf51d87c/Escritorio/Z.DOCUMENTOS%20NUMERADOS%202020/248.18.SEGUMIENTO%20REGLA%20DE%20GASTO%20NOV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baada87bf51d87c/Escritorio/Z.DOCUMENTOS%20NUMERADOS%202020/43.18.ANALISIS%20ESTABILIDAD%20EN%20LIQUIDACI&#211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baada87bf51d87c/Escritorio/Z.DOCUMENTOS%20NUMERADOS%202020/22.18.EXCEL%20REMISI&#211;N%20INFO%204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baada87bf51d87c/Escritorio/Z.DOCUMENTOS%20NUMERADOS%202020/289.19.REMISI&#211;N%20INFO%203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baada87bf51d87c/Escritorio/Z.DOCUMENTOS%20NUMERADOS%202020/33.19.ANALISIS%20REGLAS%20FISCALES%20LIQUIDACI&#211;N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baada87bf51d87c/Escritorio/Z.DOCUMENTOS%20NUMERADOS%202020/20.20.PRESUPUEST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BILIDAD PPTARIA 2014"/>
      <sheetName val="ESTABILIDAD PPTARIA 2015"/>
      <sheetName val="ESTABILIDAD PPTARIA 2016"/>
      <sheetName val="ESTABILIDAD PPTARIA 2017"/>
      <sheetName val="AJUSTES"/>
      <sheetName val="ESTABILIDAD PPTARIA 2018"/>
      <sheetName val="estabilidad formato"/>
      <sheetName val="GASTO COMPUTABLE"/>
      <sheetName val="REGLA DE GASTO"/>
      <sheetName val="TECHO DE GASTO"/>
      <sheetName val="capi 1"/>
      <sheetName val="capi 2"/>
      <sheetName val="capi 4"/>
      <sheetName val="capi 6"/>
      <sheetName val="Cap 6 4t"/>
      <sheetName val="cap 6 1t"/>
      <sheetName val="cap 6 2t"/>
      <sheetName val="cap 6 3t"/>
      <sheetName val=" b,2 ifs"/>
      <sheetName val="b12"/>
    </sheetNames>
    <sheetDataSet>
      <sheetData sheetId="4">
        <row r="10">
          <cell r="K10">
            <v>7055924.146666667</v>
          </cell>
        </row>
        <row r="11">
          <cell r="K11">
            <v>136090.44999999998</v>
          </cell>
        </row>
        <row r="12">
          <cell r="K12">
            <v>2018805.9033333333</v>
          </cell>
        </row>
        <row r="15">
          <cell r="K15">
            <v>565212.1033333334</v>
          </cell>
        </row>
        <row r="16">
          <cell r="K16">
            <v>1220.1133333333335</v>
          </cell>
        </row>
        <row r="17">
          <cell r="K17">
            <v>107722.64999999998</v>
          </cell>
        </row>
        <row r="22">
          <cell r="D22">
            <v>0.8842</v>
          </cell>
        </row>
        <row r="23">
          <cell r="D23">
            <v>0.807</v>
          </cell>
        </row>
        <row r="25">
          <cell r="D25">
            <v>0.7559</v>
          </cell>
        </row>
      </sheetData>
      <sheetData sheetId="5">
        <row r="6">
          <cell r="I6">
            <v>7800273.65</v>
          </cell>
        </row>
        <row r="7">
          <cell r="I7">
            <v>105311.32</v>
          </cell>
        </row>
        <row r="8">
          <cell r="I8">
            <v>2005391.55</v>
          </cell>
        </row>
      </sheetData>
      <sheetData sheetId="13">
        <row r="16">
          <cell r="I16">
            <v>3696807.42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BILIDAD PPTARIA 2014"/>
      <sheetName val="ESTABILIDAD PPTARIA 2015"/>
      <sheetName val="ESTABILIDAD PPTARIA 2016"/>
      <sheetName val="AJUSTES"/>
      <sheetName val="ESTABILIDAD PPTARIA 2017"/>
      <sheetName val="ESTABILIDAd formato"/>
      <sheetName val="GASTO COMPUTABLE ESTIMADO"/>
      <sheetName val="REGLA DEL GASTO"/>
      <sheetName val="TECHOS"/>
      <sheetName val="ajustes FORMATO"/>
      <sheetName val="objetivos PEF 2015"/>
      <sheetName val="capitulo 6"/>
      <sheetName val="IFS UT"/>
      <sheetName val="DESTINO SUPERAVIT 16"/>
      <sheetName val="PIRMA"/>
      <sheetName val="PIRMA 2"/>
      <sheetName val="cap trabajo"/>
      <sheetName val="acm"/>
    </sheetNames>
    <sheetDataSet>
      <sheetData sheetId="3">
        <row r="10">
          <cell r="D10">
            <v>7103564.16</v>
          </cell>
        </row>
        <row r="11">
          <cell r="D11">
            <v>161870.65</v>
          </cell>
        </row>
        <row r="12">
          <cell r="D12">
            <v>2091923.32</v>
          </cell>
        </row>
        <row r="15">
          <cell r="D15">
            <v>501595.51</v>
          </cell>
        </row>
        <row r="16">
          <cell r="K16">
            <v>1474.2266666666667</v>
          </cell>
        </row>
        <row r="17">
          <cell r="K17">
            <v>110143.65333333332</v>
          </cell>
        </row>
        <row r="22">
          <cell r="D22">
            <v>0.884</v>
          </cell>
        </row>
        <row r="23">
          <cell r="D23">
            <v>0.807</v>
          </cell>
        </row>
        <row r="24">
          <cell r="D24">
            <v>0.3379</v>
          </cell>
        </row>
        <row r="25">
          <cell r="D25">
            <v>0.7559</v>
          </cell>
        </row>
        <row r="27">
          <cell r="D27">
            <v>0.3429</v>
          </cell>
        </row>
      </sheetData>
      <sheetData sheetId="4">
        <row r="6">
          <cell r="I6">
            <v>8003377.74</v>
          </cell>
        </row>
        <row r="7">
          <cell r="I7">
            <v>162126.8</v>
          </cell>
        </row>
        <row r="8">
          <cell r="I8">
            <v>2321602.08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BILIDAD PPTARIA 2014"/>
      <sheetName val="ESTABILIDAD PPTARIA 2015"/>
      <sheetName val="ESTABILIDAD PPTARIA 2016"/>
      <sheetName val="AJUSTES"/>
      <sheetName val="ESTABILIDAD PPTARIA 2017"/>
      <sheetName val="ESTABILIDAd formato"/>
      <sheetName val="GASTO COMPUTABLE ESTIMADO"/>
      <sheetName val="REGLA DEL GASTO"/>
      <sheetName val="TECHOS"/>
      <sheetName val="ajustes FORMATO"/>
      <sheetName val="ESTIMACIÓN CAPITULO 1"/>
      <sheetName val="ESTIMACIÓN CAPITULO 2"/>
      <sheetName val="ESTIMACIÓN CAPITULO 4"/>
      <sheetName val="ESTIMACIÓN CAPITULO 6"/>
      <sheetName val="capitulo 6"/>
      <sheetName val="IFS UT"/>
      <sheetName val="DESTINO SUPERAVIT 16"/>
      <sheetName val="RESUMEN"/>
      <sheetName val="PIRMA"/>
      <sheetName val="PIRMA 2"/>
      <sheetName val="cap trabaj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BILIDAD PPTARIA 2014"/>
      <sheetName val="ESTABILIDAD PPTARIA 2015"/>
      <sheetName val="ESTABILIDAD PPTARIA 2016"/>
      <sheetName val="ESTABILIDAD PPTARIA 2017"/>
      <sheetName val="ESTABILIDAD PPTARIA 2018,"/>
      <sheetName val="AJUSTES"/>
      <sheetName val="estabilidad formato"/>
      <sheetName val="ESTABILIDAD PPTARIA 2019"/>
      <sheetName val="GASTO COMPUTABLE"/>
      <sheetName val="REGLA DE GASTO"/>
      <sheetName val="analisis oct cap 6"/>
      <sheetName val="capi 1"/>
      <sheetName val="capi 2"/>
      <sheetName val="capi 4"/>
      <sheetName val="objetivos reglas fiscales"/>
    </sheetNames>
    <sheetDataSet>
      <sheetData sheetId="5">
        <row r="10">
          <cell r="L10">
            <v>6950314</v>
          </cell>
        </row>
        <row r="11">
          <cell r="L11">
            <v>233411.44999999998</v>
          </cell>
        </row>
        <row r="12">
          <cell r="L12">
            <v>2434503.846666667</v>
          </cell>
        </row>
        <row r="15">
          <cell r="L15">
            <v>577568.2633333333</v>
          </cell>
        </row>
        <row r="16">
          <cell r="L16">
            <v>913.85</v>
          </cell>
        </row>
        <row r="17">
          <cell r="L17">
            <v>120343.42666666665</v>
          </cell>
        </row>
        <row r="22">
          <cell r="L22">
            <v>0.8681000000000001</v>
          </cell>
        </row>
        <row r="23">
          <cell r="L23">
            <v>0.8083333333333335</v>
          </cell>
        </row>
        <row r="24">
          <cell r="L24">
            <v>0.38663333333333333</v>
          </cell>
        </row>
        <row r="25">
          <cell r="L25">
            <v>0.7665000000000001</v>
          </cell>
        </row>
      </sheetData>
      <sheetData sheetId="7">
        <row r="5">
          <cell r="H5">
            <v>7500000</v>
          </cell>
        </row>
        <row r="6">
          <cell r="H6">
            <v>165000</v>
          </cell>
        </row>
        <row r="7">
          <cell r="H7">
            <v>1853200</v>
          </cell>
        </row>
      </sheetData>
      <sheetData sheetId="8">
        <row r="49">
          <cell r="P49">
            <v>251100</v>
          </cell>
        </row>
      </sheetData>
      <sheetData sheetId="10">
        <row r="15">
          <cell r="I15">
            <v>580000</v>
          </cell>
        </row>
        <row r="19">
          <cell r="I19">
            <v>65000</v>
          </cell>
        </row>
        <row r="20">
          <cell r="I20">
            <v>65000</v>
          </cell>
        </row>
        <row r="22">
          <cell r="I22">
            <v>250000</v>
          </cell>
        </row>
        <row r="31">
          <cell r="I31">
            <v>210000</v>
          </cell>
        </row>
        <row r="92">
          <cell r="I92">
            <v>3400804.1999999993</v>
          </cell>
        </row>
        <row r="111">
          <cell r="G111">
            <v>146100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ABILIDAD PPTARIA 2014"/>
      <sheetName val="ESTABILIDAD PPTARIA 2015"/>
      <sheetName val="ESTABILIDAD PPTARIA 2016"/>
      <sheetName val="ESTABILIDAD PPTARIA 2017"/>
      <sheetName val="AJUSTES"/>
      <sheetName val="ESTABILIDAD PPTARIA 2018"/>
      <sheetName val="estabilidad formato"/>
      <sheetName val="GASTO COMPUTABLE"/>
      <sheetName val="REGLA DE GASTO"/>
      <sheetName val="TECHO DE GASTO"/>
      <sheetName val="Hoja1"/>
      <sheetName val="Cap 6 final"/>
      <sheetName val="capi 1"/>
      <sheetName val="capi 2"/>
      <sheetName val="capi 4"/>
      <sheetName val="capi 6"/>
      <sheetName val="Cap 6 4t"/>
      <sheetName val="cap 6 1t"/>
      <sheetName val="cap 6 2t"/>
      <sheetName val="cap 6 3t"/>
      <sheetName val=" b,2 ifs"/>
      <sheetName val="b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INTERANUAL"/>
      <sheetName val="ANALISIS DIFERENCIAS"/>
      <sheetName val="RESUMEN GASTOS"/>
      <sheetName val="RESUMEN CAPITULOS"/>
      <sheetName val="COMPARATIVA INICIALES"/>
      <sheetName val="varios analisis"/>
      <sheetName val="COMPARACIÓN LIQUIDACIÓ_INICIAL"/>
      <sheetName val="SEGURIDAD SOCIAL"/>
      <sheetName val="INGRESOS CORRIENTE EJECUCIÓN"/>
      <sheetName val="INGRESOS"/>
      <sheetName val="FUENTES DE FINANCIACIÓN"/>
      <sheetName val="011 DEUDA PCA"/>
      <sheetName val="132 SEGURIDAD"/>
      <sheetName val="133 TRAFICO"/>
      <sheetName val="135 P CIVIL"/>
      <sheetName val="150 AG URBANISMO"/>
      <sheetName val="151 URBANISMO"/>
      <sheetName val="1532 PAVIMENTACIÓN VAS"/>
      <sheetName val="161 AGUA"/>
      <sheetName val="1621 RECOG RESIDUOS"/>
      <sheetName val="1623 TRATAMIENTO RESID"/>
      <sheetName val="163 LIMPIEZA VIARIA"/>
      <sheetName val="164 CEMENTERIO"/>
      <sheetName val="165 ALUMBRADO"/>
      <sheetName val="170 MMAA"/>
      <sheetName val="171 PARQUES Y JARDINES"/>
      <sheetName val="221 OTRAS PREST EMPLEA"/>
      <sheetName val="231 ASISTENCIA SOCIAL"/>
      <sheetName val="241 FOMENTO EMPLEO"/>
      <sheetName val="311 SANIDAD"/>
      <sheetName val="320 EDUCACIÓN"/>
      <sheetName val="323 EDUC PRESCOLAR"/>
      <sheetName val="330 CULTURA"/>
      <sheetName val="3321 BIBLIOTECAS "/>
      <sheetName val="334 PROMOCIÓN CULTURAL"/>
      <sheetName val="337 OCIO Y TIEMPO LIBRE"/>
      <sheetName val="338 FESTEJOS"/>
      <sheetName val="340 DEPORTES"/>
      <sheetName val="341 PROMOCION DEPORTE"/>
      <sheetName val="342 INSTALACIONES DEPORTIV"/>
      <sheetName val="430 COMERCIO, TURISMO Y PY"/>
      <sheetName val="440 TRANSPORTE"/>
      <sheetName val="491 SOCIEDAD INFORMACIÓN"/>
      <sheetName val="912 GOBIERNO"/>
      <sheetName val="920 ADMON GENERAL"/>
      <sheetName val="922 COORDINACIÓN EELL"/>
      <sheetName val="929 IMPREVISTOS"/>
      <sheetName val="931 POLITICA ECONOMICA"/>
      <sheetName val="932 GESTION TRIBUTOS"/>
      <sheetName val="933 GESTION PATRIMONIO"/>
      <sheetName val="934 DEUDA Y TESORERIA"/>
      <sheetName val="942 TRANSFERENCIAS OOAA"/>
      <sheetName val="943 TRANS OTRAS EELL"/>
      <sheetName val="EQUILIBRIO  PPTARIO"/>
      <sheetName val="PORTADA"/>
      <sheetName val="NOMINATIVAS"/>
      <sheetName val="MASA SALARIAL"/>
      <sheetName val="MASA GLOBAL RETRIBUTIVA"/>
      <sheetName val="ESTADO PREVISION EMV"/>
      <sheetName val="PRODUCTIVIDAD"/>
      <sheetName val="JUBILACIONES"/>
      <sheetName val=" PIR 2019-2020"/>
      <sheetName val="ANEXO INVERSIONES"/>
      <sheetName val="PLAN INVERSIÓN 4AÑOS"/>
      <sheetName val="TECHO DE GASTO"/>
      <sheetName val="MOBILIARIO URBANO PIR"/>
      <sheetName val="PIR 2018"/>
      <sheetName val="PIRMA 2019"/>
      <sheetName val="nuevo"/>
      <sheetName val="ESTIMACIÓN CONSUM ELECTRICO 18"/>
      <sheetName val="ESTIMACIÓN CONSUMO ELECTRICO 20"/>
      <sheetName val="ANALISIS CONTR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90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3" width="11.421875" style="100" customWidth="1"/>
    <col min="4" max="4" width="22.7109375" style="100" customWidth="1"/>
    <col min="5" max="5" width="14.28125" style="100" customWidth="1"/>
    <col min="6" max="6" width="12.57421875" style="100" customWidth="1"/>
    <col min="7" max="7" width="12.140625" style="100" bestFit="1" customWidth="1"/>
    <col min="8" max="8" width="14.00390625" style="100" customWidth="1"/>
    <col min="9" max="9" width="14.28125" style="100" customWidth="1"/>
    <col min="10" max="10" width="11.421875" style="100" customWidth="1"/>
    <col min="11" max="11" width="11.7109375" style="100" bestFit="1" customWidth="1"/>
    <col min="12" max="16384" width="11.421875" style="100" customWidth="1"/>
  </cols>
  <sheetData>
    <row r="3" spans="3:9" ht="12.75">
      <c r="C3" s="570" t="s">
        <v>154</v>
      </c>
      <c r="D3" s="571"/>
      <c r="E3" s="571"/>
      <c r="F3" s="571"/>
      <c r="G3" s="571"/>
      <c r="H3" s="571"/>
      <c r="I3" s="572"/>
    </row>
    <row r="4" spans="3:9" ht="12.75">
      <c r="C4" s="154"/>
      <c r="D4" s="23"/>
      <c r="E4" s="23"/>
      <c r="F4" s="23"/>
      <c r="G4" s="23"/>
      <c r="H4" s="23"/>
      <c r="I4" s="155"/>
    </row>
    <row r="5" spans="3:9" ht="29.25" customHeight="1">
      <c r="C5" s="563" t="s">
        <v>68</v>
      </c>
      <c r="D5" s="564"/>
      <c r="E5" s="252" t="str">
        <f>E17</f>
        <v>INICIALES AYTO</v>
      </c>
      <c r="F5" s="252" t="s">
        <v>105</v>
      </c>
      <c r="G5" s="252" t="s">
        <v>70</v>
      </c>
      <c r="H5" s="156" t="s">
        <v>106</v>
      </c>
      <c r="I5" s="157" t="s">
        <v>2</v>
      </c>
    </row>
    <row r="6" spans="3:19" ht="12.75">
      <c r="C6" s="158" t="s">
        <v>3</v>
      </c>
      <c r="D6" s="159" t="s">
        <v>71</v>
      </c>
      <c r="E6" s="31">
        <v>7110800</v>
      </c>
      <c r="F6" s="31"/>
      <c r="G6" s="31">
        <v>7200000</v>
      </c>
      <c r="H6" s="160">
        <v>1</v>
      </c>
      <c r="I6" s="33">
        <v>8003377.74</v>
      </c>
      <c r="R6" s="264">
        <v>8003377.74</v>
      </c>
      <c r="S6" s="265">
        <v>7094328.24</v>
      </c>
    </row>
    <row r="7" spans="3:19" ht="12.75">
      <c r="C7" s="161" t="s">
        <v>5</v>
      </c>
      <c r="D7" s="162" t="s">
        <v>72</v>
      </c>
      <c r="E7" s="36">
        <v>101000</v>
      </c>
      <c r="F7" s="36"/>
      <c r="G7" s="36">
        <f>E7+F7</f>
        <v>101000</v>
      </c>
      <c r="H7" s="115">
        <v>1</v>
      </c>
      <c r="I7" s="38">
        <v>162126.8</v>
      </c>
      <c r="R7" s="264">
        <v>162126.8</v>
      </c>
      <c r="S7" s="265">
        <v>2888733.15</v>
      </c>
    </row>
    <row r="8" spans="3:19" ht="12.75">
      <c r="C8" s="161" t="s">
        <v>7</v>
      </c>
      <c r="D8" s="162" t="s">
        <v>73</v>
      </c>
      <c r="E8" s="36">
        <v>1783000</v>
      </c>
      <c r="F8" s="36"/>
      <c r="G8" s="36">
        <f>E8+F8</f>
        <v>1783000</v>
      </c>
      <c r="H8" s="115">
        <v>1</v>
      </c>
      <c r="I8" s="38">
        <v>2321602.08</v>
      </c>
      <c r="R8" s="264">
        <v>2321602.08</v>
      </c>
      <c r="S8" s="265">
        <v>4935.97</v>
      </c>
    </row>
    <row r="9" spans="3:19" ht="12.75">
      <c r="C9" s="161" t="s">
        <v>9</v>
      </c>
      <c r="D9" s="162" t="s">
        <v>18</v>
      </c>
      <c r="E9" s="36">
        <v>3317000</v>
      </c>
      <c r="F9" s="36">
        <v>55894.38</v>
      </c>
      <c r="G9" s="36">
        <f>E9+F9</f>
        <v>3372894.38</v>
      </c>
      <c r="H9" s="163">
        <v>1</v>
      </c>
      <c r="I9" s="38">
        <v>3814833.84</v>
      </c>
      <c r="R9" s="264">
        <v>3814833.84</v>
      </c>
      <c r="S9" s="265">
        <v>278585.33</v>
      </c>
    </row>
    <row r="10" spans="3:19" ht="12.75">
      <c r="C10" s="161" t="s">
        <v>11</v>
      </c>
      <c r="D10" s="162" t="s">
        <v>19</v>
      </c>
      <c r="E10" s="36">
        <v>173500</v>
      </c>
      <c r="F10" s="36"/>
      <c r="G10" s="36">
        <f>E10+F10</f>
        <v>173500</v>
      </c>
      <c r="H10" s="115">
        <v>1</v>
      </c>
      <c r="I10" s="38">
        <v>233564.67</v>
      </c>
      <c r="R10" s="264">
        <v>233564.67</v>
      </c>
      <c r="S10" s="265"/>
    </row>
    <row r="11" spans="3:9" ht="12.75">
      <c r="C11" s="164"/>
      <c r="D11" s="165" t="s">
        <v>12</v>
      </c>
      <c r="E11" s="41">
        <f>SUM(E6:E10)</f>
        <v>12485300</v>
      </c>
      <c r="F11" s="41"/>
      <c r="G11" s="41">
        <f>E11+F23</f>
        <v>12485300</v>
      </c>
      <c r="H11" s="166">
        <v>1</v>
      </c>
      <c r="I11" s="43">
        <f>SUM(I6:I10)</f>
        <v>14535505.13</v>
      </c>
    </row>
    <row r="12" spans="3:9" ht="12.75">
      <c r="C12" s="161" t="s">
        <v>13</v>
      </c>
      <c r="D12" s="162" t="s">
        <v>20</v>
      </c>
      <c r="E12" s="36"/>
      <c r="F12" s="36"/>
      <c r="G12" s="36"/>
      <c r="H12" s="167">
        <v>1</v>
      </c>
      <c r="I12" s="38"/>
    </row>
    <row r="13" spans="3:9" ht="12.75">
      <c r="C13" s="161" t="s">
        <v>15</v>
      </c>
      <c r="D13" s="162" t="s">
        <v>16</v>
      </c>
      <c r="E13" s="36"/>
      <c r="F13" s="36">
        <v>274308.15</v>
      </c>
      <c r="G13" s="36">
        <f>F13</f>
        <v>274308.15</v>
      </c>
      <c r="H13" s="167"/>
      <c r="I13" s="38">
        <v>0</v>
      </c>
    </row>
    <row r="14" spans="3:9" ht="12.75">
      <c r="C14" s="164"/>
      <c r="D14" s="165" t="s">
        <v>17</v>
      </c>
      <c r="E14" s="41"/>
      <c r="F14" s="41"/>
      <c r="G14" s="41"/>
      <c r="H14" s="168"/>
      <c r="I14" s="43">
        <f>SUM(I12:I13)</f>
        <v>0</v>
      </c>
    </row>
    <row r="15" spans="3:9" ht="12.75">
      <c r="C15" s="162"/>
      <c r="D15" s="169" t="s">
        <v>1</v>
      </c>
      <c r="E15" s="170">
        <f>E11+E14</f>
        <v>12485300</v>
      </c>
      <c r="F15" s="170"/>
      <c r="G15" s="170">
        <f>G11</f>
        <v>12485300</v>
      </c>
      <c r="H15" s="171"/>
      <c r="I15" s="172">
        <f>I11+I14</f>
        <v>14535505.13</v>
      </c>
    </row>
    <row r="16" spans="3:9" ht="12.75">
      <c r="C16" s="173"/>
      <c r="D16" s="49"/>
      <c r="E16" s="50"/>
      <c r="F16" s="50"/>
      <c r="G16" s="51"/>
      <c r="H16" s="49"/>
      <c r="I16" s="174"/>
    </row>
    <row r="17" spans="3:9" ht="32.25" thickBot="1">
      <c r="C17" s="563" t="s">
        <v>74</v>
      </c>
      <c r="D17" s="564"/>
      <c r="E17" s="252" t="s">
        <v>69</v>
      </c>
      <c r="F17" s="175" t="s">
        <v>107</v>
      </c>
      <c r="G17" s="252" t="str">
        <f>G5</f>
        <v>DEFI AYTO</v>
      </c>
      <c r="H17" s="253" t="s">
        <v>56</v>
      </c>
      <c r="I17" s="175" t="s">
        <v>2</v>
      </c>
    </row>
    <row r="18" spans="3:15" ht="13.5" thickBot="1">
      <c r="C18" s="158" t="s">
        <v>3</v>
      </c>
      <c r="D18" s="158" t="s">
        <v>4</v>
      </c>
      <c r="E18" s="54">
        <v>7904156.442658799</v>
      </c>
      <c r="F18" s="31">
        <f>36675.78+84738.6</f>
        <v>121414.38</v>
      </c>
      <c r="G18" s="55">
        <f>E18+F18</f>
        <v>8025570.822658799</v>
      </c>
      <c r="H18" s="116">
        <f>'[2]AJUSTES'!D22</f>
        <v>0.884</v>
      </c>
      <c r="I18" s="33">
        <f>S6</f>
        <v>7094328.24</v>
      </c>
      <c r="M18" s="176" t="s">
        <v>108</v>
      </c>
      <c r="N18" s="177" t="s">
        <v>109</v>
      </c>
      <c r="O18" s="178" t="s">
        <v>110</v>
      </c>
    </row>
    <row r="19" spans="3:15" ht="12.75">
      <c r="C19" s="161" t="s">
        <v>5</v>
      </c>
      <c r="D19" s="161" t="s">
        <v>6</v>
      </c>
      <c r="E19" s="54">
        <v>3556153.5586200003</v>
      </c>
      <c r="F19" s="36">
        <f>77963.88-54712.19</f>
        <v>23251.690000000002</v>
      </c>
      <c r="G19" s="55">
        <f>E19+F19</f>
        <v>3579405.24862</v>
      </c>
      <c r="H19" s="116">
        <f>'[2]AJUSTES'!D23</f>
        <v>0.807</v>
      </c>
      <c r="I19" s="38">
        <f>S7</f>
        <v>2888733.15</v>
      </c>
      <c r="M19" s="16" t="s">
        <v>111</v>
      </c>
      <c r="N19" s="179">
        <f>1-O19</f>
        <v>0.11599999999999999</v>
      </c>
      <c r="O19" s="180">
        <f>H18</f>
        <v>0.884</v>
      </c>
    </row>
    <row r="20" spans="3:15" ht="12.75">
      <c r="C20" s="161" t="s">
        <v>7</v>
      </c>
      <c r="D20" s="161" t="s">
        <v>8</v>
      </c>
      <c r="E20" s="54">
        <v>10500</v>
      </c>
      <c r="F20" s="36">
        <f>105+4000</f>
        <v>4105</v>
      </c>
      <c r="G20" s="55">
        <f>E20+F20</f>
        <v>14605</v>
      </c>
      <c r="H20" s="116">
        <f>'[2]AJUSTES'!D24</f>
        <v>0.3379</v>
      </c>
      <c r="I20" s="38">
        <f>S8</f>
        <v>4935.97</v>
      </c>
      <c r="M20" s="15" t="s">
        <v>112</v>
      </c>
      <c r="N20" s="181">
        <f>1-O20</f>
        <v>0.19299999999999995</v>
      </c>
      <c r="O20" s="182">
        <f>H19</f>
        <v>0.807</v>
      </c>
    </row>
    <row r="21" spans="3:15" ht="12.75">
      <c r="C21" s="161" t="s">
        <v>9</v>
      </c>
      <c r="D21" s="161" t="s">
        <v>10</v>
      </c>
      <c r="E21" s="54">
        <v>355000</v>
      </c>
      <c r="F21" s="36">
        <f>12488+1055</f>
        <v>13543</v>
      </c>
      <c r="G21" s="55">
        <f>E21+F21</f>
        <v>368543</v>
      </c>
      <c r="H21" s="116">
        <f>'[2]AJUSTES'!D25</f>
        <v>0.7559</v>
      </c>
      <c r="I21" s="38">
        <f>S9</f>
        <v>278585.33</v>
      </c>
      <c r="M21" s="15" t="s">
        <v>113</v>
      </c>
      <c r="N21" s="181">
        <f>1-O21</f>
        <v>0.6621</v>
      </c>
      <c r="O21" s="182">
        <f>H20</f>
        <v>0.3379</v>
      </c>
    </row>
    <row r="22" spans="3:15" ht="13.5" thickBot="1">
      <c r="C22" s="161" t="s">
        <v>11</v>
      </c>
      <c r="D22" s="161"/>
      <c r="E22" s="54">
        <v>0</v>
      </c>
      <c r="F22" s="36"/>
      <c r="G22" s="55"/>
      <c r="H22" s="119"/>
      <c r="I22" s="38">
        <f>G22*H22</f>
        <v>0</v>
      </c>
      <c r="M22" s="17" t="s">
        <v>114</v>
      </c>
      <c r="N22" s="183">
        <f>1-O22</f>
        <v>0.6571</v>
      </c>
      <c r="O22" s="184">
        <f>H24</f>
        <v>0.3429</v>
      </c>
    </row>
    <row r="23" spans="3:9" ht="12.75">
      <c r="C23" s="164"/>
      <c r="D23" s="164" t="s">
        <v>12</v>
      </c>
      <c r="E23" s="57">
        <f>SUM(E18:E22)</f>
        <v>11825810.001278799</v>
      </c>
      <c r="F23" s="41"/>
      <c r="G23" s="58">
        <f>SUM(G18:G22)</f>
        <v>11988124.0712788</v>
      </c>
      <c r="H23" s="120"/>
      <c r="I23" s="43">
        <f>SUM(I18:I22)</f>
        <v>10266582.690000001</v>
      </c>
    </row>
    <row r="24" spans="3:9" ht="12.75">
      <c r="C24" s="161" t="s">
        <v>13</v>
      </c>
      <c r="D24" s="161" t="s">
        <v>14</v>
      </c>
      <c r="E24" s="54">
        <v>659490</v>
      </c>
      <c r="F24" s="36">
        <f>813085.2+2390445.54</f>
        <v>3203530.74</v>
      </c>
      <c r="G24" s="55">
        <f>E24+F24</f>
        <v>3863020.74</v>
      </c>
      <c r="H24" s="117">
        <f>'[2]AJUSTES'!D27</f>
        <v>0.3429</v>
      </c>
      <c r="I24" s="82">
        <v>1324705.31</v>
      </c>
    </row>
    <row r="25" spans="3:9" ht="12.75">
      <c r="C25" s="161" t="s">
        <v>15</v>
      </c>
      <c r="D25" s="161" t="s">
        <v>16</v>
      </c>
      <c r="E25" s="54"/>
      <c r="F25" s="112"/>
      <c r="G25" s="55"/>
      <c r="H25" s="37"/>
      <c r="I25" s="38">
        <v>0</v>
      </c>
    </row>
    <row r="26" spans="3:9" ht="12.75">
      <c r="C26" s="164"/>
      <c r="D26" s="164" t="s">
        <v>17</v>
      </c>
      <c r="E26" s="121">
        <f>E24+E25</f>
        <v>659490</v>
      </c>
      <c r="F26" s="121">
        <f>F24</f>
        <v>3203530.74</v>
      </c>
      <c r="G26" s="58">
        <f>SUM(G24:G25)</f>
        <v>3863020.74</v>
      </c>
      <c r="H26" s="42"/>
      <c r="I26" s="43">
        <f>SUM(I24:I25)</f>
        <v>1324705.31</v>
      </c>
    </row>
    <row r="27" spans="3:9" ht="12.75">
      <c r="C27" s="162"/>
      <c r="D27" s="169" t="s">
        <v>1</v>
      </c>
      <c r="E27" s="172">
        <f>E23+E26</f>
        <v>12485300.001278799</v>
      </c>
      <c r="F27" s="172">
        <f>F23+F26</f>
        <v>3203530.74</v>
      </c>
      <c r="G27" s="185">
        <f>SUM(G23+G26)</f>
        <v>15851144.8112788</v>
      </c>
      <c r="H27" s="171"/>
      <c r="I27" s="172">
        <f>I23+I26</f>
        <v>11591288.000000002</v>
      </c>
    </row>
    <row r="28" spans="3:9" ht="12.75">
      <c r="C28" s="118"/>
      <c r="D28" s="19"/>
      <c r="E28" s="19"/>
      <c r="F28" s="19"/>
      <c r="G28" s="19"/>
      <c r="H28" s="19"/>
      <c r="I28" s="155"/>
    </row>
    <row r="29" spans="3:9" ht="19.5" customHeight="1">
      <c r="C29" s="565" t="s">
        <v>21</v>
      </c>
      <c r="D29" s="566"/>
      <c r="E29" s="186">
        <f>E15-E27</f>
        <v>-0.0012787990272045135</v>
      </c>
      <c r="F29" s="186">
        <f>F15-F27</f>
        <v>-3203530.74</v>
      </c>
      <c r="G29" s="186">
        <f>G15-G27</f>
        <v>-3365844.8112787995</v>
      </c>
      <c r="H29" s="186"/>
      <c r="I29" s="187">
        <f>I15-I27</f>
        <v>2944217.129999999</v>
      </c>
    </row>
    <row r="31" spans="3:9" ht="12.75">
      <c r="C31" s="565" t="s">
        <v>131</v>
      </c>
      <c r="D31" s="573"/>
      <c r="E31" s="152"/>
      <c r="F31" s="152"/>
      <c r="G31" s="153"/>
      <c r="H31" s="188" t="s">
        <v>136</v>
      </c>
      <c r="I31" s="188" t="s">
        <v>137</v>
      </c>
    </row>
    <row r="32" spans="3:9" ht="12.75" customHeight="1">
      <c r="C32" s="567">
        <v>1</v>
      </c>
      <c r="D32" s="189" t="s">
        <v>75</v>
      </c>
      <c r="E32" s="190"/>
      <c r="F32" s="191"/>
      <c r="G32" s="191"/>
      <c r="H32" s="192">
        <f>SUM(H33:H37)</f>
        <v>1815622.1195911951</v>
      </c>
      <c r="I32" s="192">
        <f>SUM(I33:I37)</f>
        <v>0</v>
      </c>
    </row>
    <row r="33" spans="3:9" ht="12.75">
      <c r="C33" s="568"/>
      <c r="D33" s="193" t="s">
        <v>40</v>
      </c>
      <c r="E33" s="190" t="s">
        <v>115</v>
      </c>
      <c r="F33" s="148">
        <v>0.8755</v>
      </c>
      <c r="G33" s="149">
        <v>0.12450000000000006</v>
      </c>
      <c r="H33" s="194">
        <v>984067.4771110208</v>
      </c>
      <c r="I33" s="194">
        <v>0</v>
      </c>
    </row>
    <row r="34" spans="3:9" ht="12.75">
      <c r="C34" s="568"/>
      <c r="D34" s="193" t="s">
        <v>41</v>
      </c>
      <c r="E34" s="190" t="s">
        <v>115</v>
      </c>
      <c r="F34" s="148">
        <v>0.8534600000000001</v>
      </c>
      <c r="G34" s="149">
        <v>0.1465399999999999</v>
      </c>
      <c r="H34" s="194">
        <v>521118.74248017446</v>
      </c>
      <c r="I34" s="194">
        <v>0</v>
      </c>
    </row>
    <row r="35" spans="3:9" ht="12.75">
      <c r="C35" s="568"/>
      <c r="D35" s="193" t="s">
        <v>104</v>
      </c>
      <c r="E35" s="190" t="s">
        <v>115</v>
      </c>
      <c r="F35" s="148">
        <v>1</v>
      </c>
      <c r="G35" s="149">
        <v>0</v>
      </c>
      <c r="H35" s="194">
        <v>0</v>
      </c>
      <c r="I35" s="194">
        <f>G21*H35</f>
        <v>0</v>
      </c>
    </row>
    <row r="36" spans="3:9" ht="12.75">
      <c r="C36" s="568"/>
      <c r="D36" s="193" t="s">
        <v>42</v>
      </c>
      <c r="E36" s="190" t="s">
        <v>115</v>
      </c>
      <c r="F36" s="148">
        <v>0.86862</v>
      </c>
      <c r="G36" s="149">
        <v>0.13138000000000005</v>
      </c>
      <c r="H36" s="194">
        <v>46639.900000000016</v>
      </c>
      <c r="I36" s="194">
        <f>G22*H36</f>
        <v>0</v>
      </c>
    </row>
    <row r="37" spans="3:9" ht="12.75">
      <c r="C37" s="569"/>
      <c r="D37" s="193" t="s">
        <v>57</v>
      </c>
      <c r="E37" s="190"/>
      <c r="F37" s="148">
        <v>0.6</v>
      </c>
      <c r="G37" s="149">
        <v>0.4</v>
      </c>
      <c r="H37" s="195">
        <v>263796</v>
      </c>
      <c r="I37" s="195">
        <f>G25*H37</f>
        <v>0</v>
      </c>
    </row>
    <row r="38" spans="3:9" ht="12.75" customHeight="1">
      <c r="C38" s="567">
        <v>2</v>
      </c>
      <c r="D38" s="189" t="s">
        <v>76</v>
      </c>
      <c r="E38" s="196"/>
      <c r="F38" s="197"/>
      <c r="G38" s="198"/>
      <c r="H38" s="192">
        <v>0</v>
      </c>
      <c r="I38" s="192">
        <v>0</v>
      </c>
    </row>
    <row r="39" spans="3:9" ht="12.75">
      <c r="C39" s="568"/>
      <c r="D39" s="193" t="s">
        <v>77</v>
      </c>
      <c r="E39" s="199"/>
      <c r="F39" s="200"/>
      <c r="G39" s="201"/>
      <c r="H39" s="194">
        <v>0</v>
      </c>
      <c r="I39" s="194">
        <v>0</v>
      </c>
    </row>
    <row r="40" spans="3:9" ht="12.75">
      <c r="C40" s="569"/>
      <c r="D40" s="202" t="s">
        <v>78</v>
      </c>
      <c r="E40" s="203"/>
      <c r="F40" s="204"/>
      <c r="G40" s="205"/>
      <c r="H40" s="195">
        <v>0</v>
      </c>
      <c r="I40" s="195">
        <v>0</v>
      </c>
    </row>
    <row r="41" spans="3:9" ht="12.75" customHeight="1">
      <c r="C41" s="567">
        <v>3</v>
      </c>
      <c r="D41" s="189" t="s">
        <v>79</v>
      </c>
      <c r="E41" s="196"/>
      <c r="F41" s="197"/>
      <c r="G41" s="198"/>
      <c r="H41" s="206">
        <f>H43</f>
        <v>6564.24</v>
      </c>
      <c r="I41" s="206">
        <f>I43</f>
        <v>6564.24</v>
      </c>
    </row>
    <row r="42" spans="3:9" ht="12.75">
      <c r="C42" s="568"/>
      <c r="D42" s="193" t="s">
        <v>80</v>
      </c>
      <c r="E42" s="199"/>
      <c r="F42" s="200"/>
      <c r="G42" s="201"/>
      <c r="H42" s="194">
        <v>0</v>
      </c>
      <c r="I42" s="194">
        <v>0</v>
      </c>
    </row>
    <row r="43" spans="3:9" ht="12.75">
      <c r="C43" s="569"/>
      <c r="D43" s="202" t="s">
        <v>81</v>
      </c>
      <c r="E43" s="203"/>
      <c r="F43" s="204"/>
      <c r="G43" s="205"/>
      <c r="H43" s="195">
        <v>6564.24</v>
      </c>
      <c r="I43" s="195">
        <v>6564.24</v>
      </c>
    </row>
    <row r="44" spans="3:9" ht="12.75" customHeight="1">
      <c r="C44" s="567">
        <v>4</v>
      </c>
      <c r="D44" s="207" t="s">
        <v>82</v>
      </c>
      <c r="E44" s="208"/>
      <c r="F44" s="209"/>
      <c r="G44" s="210"/>
      <c r="H44" s="192">
        <f>SUM(H45:H46)</f>
        <v>-25000</v>
      </c>
      <c r="I44" s="192">
        <f>SUM(I45:I46)</f>
        <v>16748.380000000005</v>
      </c>
    </row>
    <row r="45" spans="3:9" ht="12.75">
      <c r="C45" s="568"/>
      <c r="D45" s="193" t="s">
        <v>119</v>
      </c>
      <c r="E45" s="208"/>
      <c r="F45" s="209"/>
      <c r="G45" s="210"/>
      <c r="H45" s="194">
        <v>100000</v>
      </c>
      <c r="I45" s="194">
        <v>109086.24</v>
      </c>
    </row>
    <row r="46" spans="3:9" ht="12.75">
      <c r="C46" s="569"/>
      <c r="D46" s="202" t="s">
        <v>120</v>
      </c>
      <c r="E46" s="211"/>
      <c r="F46" s="212"/>
      <c r="G46" s="213"/>
      <c r="H46" s="194">
        <v>-125000</v>
      </c>
      <c r="I46" s="194">
        <v>-92337.86</v>
      </c>
    </row>
    <row r="47" spans="3:9" ht="12.75" customHeight="1">
      <c r="C47" s="567">
        <v>5</v>
      </c>
      <c r="D47" s="189" t="s">
        <v>83</v>
      </c>
      <c r="E47" s="214"/>
      <c r="F47" s="215"/>
      <c r="G47" s="216"/>
      <c r="H47" s="206">
        <v>-582040.692</v>
      </c>
      <c r="I47" s="206">
        <f>SUM(I48:I50)</f>
        <v>-1129748.4900000002</v>
      </c>
    </row>
    <row r="48" spans="3:11" ht="12.75">
      <c r="C48" s="568"/>
      <c r="D48" s="193" t="s">
        <v>49</v>
      </c>
      <c r="E48" s="199"/>
      <c r="F48" s="200"/>
      <c r="G48" s="201"/>
      <c r="H48" s="194">
        <v>-692872.698</v>
      </c>
      <c r="I48" s="194">
        <f>'[2]AJUSTES'!D10-'[2]ESTABILIDAD PPTARIA 2017'!I6</f>
        <v>-899813.5800000001</v>
      </c>
      <c r="J48" s="217" t="s">
        <v>40</v>
      </c>
      <c r="K48" s="218">
        <f>I48+I53</f>
        <v>-398218.07000000007</v>
      </c>
    </row>
    <row r="49" spans="3:11" ht="12.75">
      <c r="C49" s="568"/>
      <c r="D49" s="193" t="s">
        <v>50</v>
      </c>
      <c r="E49" s="199"/>
      <c r="F49" s="200"/>
      <c r="G49" s="201"/>
      <c r="H49" s="194">
        <v>36336.61800000002</v>
      </c>
      <c r="I49" s="194">
        <f>'[2]AJUSTES'!D11-'[2]ESTABILIDAD PPTARIA 2017'!I7</f>
        <v>-256.1499999999942</v>
      </c>
      <c r="J49" s="219" t="s">
        <v>41</v>
      </c>
      <c r="K49" s="220">
        <f>I49+I54</f>
        <v>1218.0766666666725</v>
      </c>
    </row>
    <row r="50" spans="3:11" ht="12.75">
      <c r="C50" s="568"/>
      <c r="D50" s="193" t="s">
        <v>44</v>
      </c>
      <c r="E50" s="199"/>
      <c r="F50" s="200"/>
      <c r="G50" s="201"/>
      <c r="H50" s="194">
        <v>74495.3879999998</v>
      </c>
      <c r="I50" s="194">
        <f>'[2]AJUSTES'!D12-'[2]ESTABILIDAD PPTARIA 2017'!I8</f>
        <v>-229678.76</v>
      </c>
      <c r="J50" s="221" t="s">
        <v>134</v>
      </c>
      <c r="K50" s="222">
        <f>I50+I55</f>
        <v>-119535.10666666669</v>
      </c>
    </row>
    <row r="51" spans="3:11" ht="12.75">
      <c r="C51" s="569"/>
      <c r="D51" s="193"/>
      <c r="E51" s="203"/>
      <c r="F51" s="204"/>
      <c r="G51" s="205"/>
      <c r="H51" s="194"/>
      <c r="I51" s="194"/>
      <c r="K51" s="223"/>
    </row>
    <row r="52" spans="3:9" ht="12.75" customHeight="1">
      <c r="C52" s="567">
        <v>6</v>
      </c>
      <c r="D52" s="189" t="s">
        <v>84</v>
      </c>
      <c r="E52" s="196"/>
      <c r="F52" s="197"/>
      <c r="G52" s="198"/>
      <c r="H52" s="206">
        <v>700238.2494999999</v>
      </c>
      <c r="I52" s="206">
        <f>SUM(I53:I55)</f>
        <v>613213.39</v>
      </c>
    </row>
    <row r="53" spans="3:9" ht="12.75">
      <c r="C53" s="568"/>
      <c r="D53" s="193" t="s">
        <v>45</v>
      </c>
      <c r="E53" s="199"/>
      <c r="F53" s="200"/>
      <c r="G53" s="201"/>
      <c r="H53" s="194">
        <v>544301.578</v>
      </c>
      <c r="I53" s="194">
        <f>'[2]AJUSTES'!D15</f>
        <v>501595.51</v>
      </c>
    </row>
    <row r="54" spans="3:9" ht="12.75">
      <c r="C54" s="568"/>
      <c r="D54" s="193" t="s">
        <v>46</v>
      </c>
      <c r="E54" s="199"/>
      <c r="F54" s="200"/>
      <c r="G54" s="201"/>
      <c r="H54" s="194">
        <v>1944.0639999999999</v>
      </c>
      <c r="I54" s="194">
        <f>'[2]AJUSTES'!K16</f>
        <v>1474.2266666666667</v>
      </c>
    </row>
    <row r="55" spans="3:9" ht="12.75">
      <c r="C55" s="568"/>
      <c r="D55" s="193" t="s">
        <v>47</v>
      </c>
      <c r="E55" s="199"/>
      <c r="F55" s="200"/>
      <c r="G55" s="201"/>
      <c r="H55" s="194">
        <v>153992.60749999998</v>
      </c>
      <c r="I55" s="194">
        <f>'[2]AJUSTES'!K17</f>
        <v>110143.65333333332</v>
      </c>
    </row>
    <row r="56" spans="3:9" ht="12.75">
      <c r="C56" s="569"/>
      <c r="D56" s="193"/>
      <c r="E56" s="203"/>
      <c r="F56" s="204"/>
      <c r="G56" s="205"/>
      <c r="H56" s="194"/>
      <c r="I56" s="194"/>
    </row>
    <row r="57" spans="3:9" ht="12.75" customHeight="1">
      <c r="C57" s="567">
        <v>7</v>
      </c>
      <c r="D57" s="189" t="s">
        <v>85</v>
      </c>
      <c r="E57" s="196"/>
      <c r="F57" s="197"/>
      <c r="G57" s="198"/>
      <c r="H57" s="206">
        <f>H60+H59+H58</f>
        <v>0</v>
      </c>
      <c r="I57" s="206">
        <f>I60+I59+I58</f>
        <v>0</v>
      </c>
    </row>
    <row r="58" spans="3:9" ht="12.75">
      <c r="C58" s="568"/>
      <c r="D58" s="193" t="s">
        <v>116</v>
      </c>
      <c r="E58" s="199"/>
      <c r="F58" s="200"/>
      <c r="G58" s="201"/>
      <c r="H58" s="194">
        <v>0</v>
      </c>
      <c r="I58" s="194">
        <v>0</v>
      </c>
    </row>
    <row r="59" spans="3:9" ht="12.75">
      <c r="C59" s="568"/>
      <c r="D59" s="193" t="s">
        <v>117</v>
      </c>
      <c r="E59" s="199"/>
      <c r="F59" s="200"/>
      <c r="G59" s="201"/>
      <c r="H59" s="194">
        <v>0</v>
      </c>
      <c r="I59" s="194">
        <v>0</v>
      </c>
    </row>
    <row r="60" spans="3:9" ht="12.75">
      <c r="C60" s="568"/>
      <c r="D60" s="193" t="s">
        <v>118</v>
      </c>
      <c r="E60" s="199"/>
      <c r="F60" s="200"/>
      <c r="G60" s="201"/>
      <c r="H60" s="194">
        <v>0</v>
      </c>
      <c r="I60" s="194">
        <v>0</v>
      </c>
    </row>
    <row r="61" spans="3:9" ht="12.75">
      <c r="C61" s="569"/>
      <c r="D61" s="193"/>
      <c r="E61" s="203"/>
      <c r="F61" s="204"/>
      <c r="G61" s="205"/>
      <c r="H61" s="194"/>
      <c r="I61" s="194"/>
    </row>
    <row r="62" spans="3:9" ht="12.75">
      <c r="C62" s="558">
        <v>8</v>
      </c>
      <c r="D62" s="158" t="s">
        <v>86</v>
      </c>
      <c r="E62" s="199"/>
      <c r="F62" s="200"/>
      <c r="G62" s="201"/>
      <c r="H62" s="206">
        <v>0</v>
      </c>
      <c r="I62" s="206">
        <v>0</v>
      </c>
    </row>
    <row r="63" spans="3:9" ht="12.75">
      <c r="C63" s="559"/>
      <c r="D63" s="224"/>
      <c r="E63" s="199"/>
      <c r="F63" s="200"/>
      <c r="G63" s="201"/>
      <c r="H63" s="194"/>
      <c r="I63" s="194"/>
    </row>
    <row r="64" spans="3:9" ht="9" customHeight="1">
      <c r="C64" s="560"/>
      <c r="D64" s="224"/>
      <c r="E64" s="208"/>
      <c r="F64" s="209"/>
      <c r="G64" s="210"/>
      <c r="H64" s="195"/>
      <c r="I64" s="195"/>
    </row>
    <row r="65" spans="3:9" ht="12.75">
      <c r="C65" s="558">
        <v>9</v>
      </c>
      <c r="D65" s="225" t="s">
        <v>121</v>
      </c>
      <c r="E65" s="215"/>
      <c r="F65" s="215"/>
      <c r="G65" s="216"/>
      <c r="H65" s="226">
        <v>0</v>
      </c>
      <c r="I65" s="226">
        <v>0</v>
      </c>
    </row>
    <row r="66" spans="3:9" ht="12.75">
      <c r="C66" s="560"/>
      <c r="D66" s="227"/>
      <c r="E66" s="209"/>
      <c r="F66" s="209"/>
      <c r="G66" s="210"/>
      <c r="H66" s="194"/>
      <c r="I66" s="194"/>
    </row>
    <row r="67" spans="3:9" ht="12.75">
      <c r="C67" s="561">
        <v>10</v>
      </c>
      <c r="D67" s="225" t="s">
        <v>122</v>
      </c>
      <c r="E67" s="215"/>
      <c r="F67" s="215"/>
      <c r="G67" s="215"/>
      <c r="H67" s="226">
        <v>0</v>
      </c>
      <c r="I67" s="226">
        <v>0</v>
      </c>
    </row>
    <row r="68" spans="3:9" ht="12.75">
      <c r="C68" s="562"/>
      <c r="D68" s="228"/>
      <c r="E68" s="212"/>
      <c r="F68" s="212"/>
      <c r="G68" s="212"/>
      <c r="H68" s="195"/>
      <c r="I68" s="195"/>
    </row>
    <row r="69" spans="3:9" ht="12.75">
      <c r="C69" s="561">
        <v>11</v>
      </c>
      <c r="D69" s="225" t="s">
        <v>123</v>
      </c>
      <c r="E69" s="215"/>
      <c r="F69" s="215"/>
      <c r="G69" s="215"/>
      <c r="H69" s="226">
        <v>0</v>
      </c>
      <c r="I69" s="226">
        <v>0</v>
      </c>
    </row>
    <row r="70" spans="3:9" ht="12.75">
      <c r="C70" s="562"/>
      <c r="D70" s="228"/>
      <c r="E70" s="212"/>
      <c r="F70" s="212"/>
      <c r="G70" s="212"/>
      <c r="H70" s="195"/>
      <c r="I70" s="195"/>
    </row>
    <row r="71" spans="3:9" ht="12.75">
      <c r="C71" s="250">
        <v>12</v>
      </c>
      <c r="D71" s="225" t="s">
        <v>124</v>
      </c>
      <c r="E71" s="215"/>
      <c r="F71" s="215"/>
      <c r="G71" s="215"/>
      <c r="H71" s="226">
        <v>0</v>
      </c>
      <c r="I71" s="226">
        <v>0</v>
      </c>
    </row>
    <row r="72" spans="3:9" ht="12.75">
      <c r="C72" s="251"/>
      <c r="D72" s="228"/>
      <c r="E72" s="212"/>
      <c r="F72" s="212"/>
      <c r="G72" s="212"/>
      <c r="H72" s="195"/>
      <c r="I72" s="195"/>
    </row>
    <row r="73" spans="3:9" ht="12.75">
      <c r="C73" s="250">
        <v>13</v>
      </c>
      <c r="D73" s="225" t="s">
        <v>132</v>
      </c>
      <c r="E73" s="215"/>
      <c r="F73" s="215"/>
      <c r="G73" s="215"/>
      <c r="H73" s="226">
        <v>0</v>
      </c>
      <c r="I73" s="226">
        <v>0</v>
      </c>
    </row>
    <row r="74" spans="3:9" ht="12.75">
      <c r="C74" s="251"/>
      <c r="D74" s="228"/>
      <c r="E74" s="212"/>
      <c r="F74" s="212"/>
      <c r="G74" s="212"/>
      <c r="H74" s="195"/>
      <c r="I74" s="195"/>
    </row>
    <row r="75" spans="3:9" ht="12.75">
      <c r="C75" s="250">
        <v>14</v>
      </c>
      <c r="D75" s="225" t="s">
        <v>125</v>
      </c>
      <c r="E75" s="215"/>
      <c r="F75" s="215"/>
      <c r="G75" s="215"/>
      <c r="H75" s="226">
        <v>0</v>
      </c>
      <c r="I75" s="226">
        <v>0</v>
      </c>
    </row>
    <row r="76" spans="3:9" ht="12.75">
      <c r="C76" s="251"/>
      <c r="D76" s="228"/>
      <c r="E76" s="212"/>
      <c r="F76" s="212"/>
      <c r="G76" s="212"/>
      <c r="H76" s="195"/>
      <c r="I76" s="195"/>
    </row>
    <row r="77" spans="3:9" ht="12.75">
      <c r="C77" s="250">
        <v>15</v>
      </c>
      <c r="D77" s="225" t="s">
        <v>126</v>
      </c>
      <c r="E77" s="215"/>
      <c r="F77" s="215"/>
      <c r="G77" s="215"/>
      <c r="H77" s="226">
        <v>0</v>
      </c>
      <c r="I77" s="226">
        <v>0</v>
      </c>
    </row>
    <row r="78" spans="3:9" ht="12.75">
      <c r="C78" s="251"/>
      <c r="D78" s="228"/>
      <c r="E78" s="212"/>
      <c r="F78" s="212"/>
      <c r="G78" s="212"/>
      <c r="H78" s="195"/>
      <c r="I78" s="195"/>
    </row>
    <row r="79" spans="3:9" ht="12.75">
      <c r="C79" s="250">
        <v>16</v>
      </c>
      <c r="D79" s="225" t="s">
        <v>127</v>
      </c>
      <c r="E79" s="215"/>
      <c r="F79" s="215"/>
      <c r="G79" s="215"/>
      <c r="H79" s="226">
        <v>0</v>
      </c>
      <c r="I79" s="226">
        <v>0</v>
      </c>
    </row>
    <row r="80" spans="3:9" ht="12.75">
      <c r="C80" s="251"/>
      <c r="D80" s="228"/>
      <c r="E80" s="212"/>
      <c r="F80" s="212"/>
      <c r="G80" s="212"/>
      <c r="H80" s="195"/>
      <c r="I80" s="195"/>
    </row>
    <row r="81" spans="3:9" ht="12.75">
      <c r="C81" s="250">
        <v>17</v>
      </c>
      <c r="D81" s="225" t="s">
        <v>128</v>
      </c>
      <c r="E81" s="215"/>
      <c r="F81" s="215"/>
      <c r="G81" s="215"/>
      <c r="H81" s="226">
        <v>0</v>
      </c>
      <c r="I81" s="226">
        <v>0</v>
      </c>
    </row>
    <row r="82" spans="3:9" ht="12.75">
      <c r="C82" s="251"/>
      <c r="D82" s="228"/>
      <c r="E82" s="212"/>
      <c r="F82" s="212"/>
      <c r="G82" s="212"/>
      <c r="H82" s="195"/>
      <c r="I82" s="195"/>
    </row>
    <row r="83" spans="3:9" ht="12.75">
      <c r="C83" s="250">
        <v>18</v>
      </c>
      <c r="D83" s="225" t="s">
        <v>129</v>
      </c>
      <c r="E83" s="215"/>
      <c r="F83" s="215"/>
      <c r="G83" s="215"/>
      <c r="H83" s="226">
        <v>0</v>
      </c>
      <c r="I83" s="226">
        <v>0</v>
      </c>
    </row>
    <row r="84" spans="3:9" ht="12.75">
      <c r="C84" s="251"/>
      <c r="D84" s="228"/>
      <c r="E84" s="212"/>
      <c r="F84" s="212"/>
      <c r="G84" s="212"/>
      <c r="H84" s="195"/>
      <c r="I84" s="195"/>
    </row>
    <row r="85" spans="3:9" ht="12.75">
      <c r="C85" s="250">
        <v>19</v>
      </c>
      <c r="D85" s="225" t="s">
        <v>130</v>
      </c>
      <c r="E85" s="215"/>
      <c r="F85" s="215"/>
      <c r="G85" s="215"/>
      <c r="H85" s="226">
        <v>0</v>
      </c>
      <c r="I85" s="226">
        <v>0</v>
      </c>
    </row>
    <row r="86" spans="3:9" ht="12.75">
      <c r="C86" s="249"/>
      <c r="D86" s="228"/>
      <c r="E86" s="212"/>
      <c r="F86" s="212"/>
      <c r="G86" s="212"/>
      <c r="H86" s="195"/>
      <c r="I86" s="195"/>
    </row>
    <row r="87" spans="3:9" ht="12.75" customHeight="1">
      <c r="C87" s="563" t="s">
        <v>53</v>
      </c>
      <c r="D87" s="564"/>
      <c r="E87" s="229"/>
      <c r="F87" s="229"/>
      <c r="G87" s="229"/>
      <c r="H87" s="230">
        <f>SUM(H32+H38+H41+H44+H47+H52+H57+H62+H65+H67+H69+H71+H73+H75+H77+H79+H81+H83+H85)</f>
        <v>1915383.917091195</v>
      </c>
      <c r="I87" s="230">
        <f>SUM(I32+I38+I41+I44+I47+I52+I57+I62+I65+I67+I69+I71+I73+I75+I77+I79+I81+I83+I85)</f>
        <v>-493222.4800000001</v>
      </c>
    </row>
    <row r="88" spans="3:9" ht="25.5" customHeight="1">
      <c r="C88" s="565" t="s">
        <v>22</v>
      </c>
      <c r="D88" s="566"/>
      <c r="E88" s="254"/>
      <c r="F88" s="255"/>
      <c r="G88" s="255"/>
      <c r="H88" s="231">
        <f>H30+H87</f>
        <v>1915383.917091195</v>
      </c>
      <c r="I88" s="231">
        <v>2450994.649999999</v>
      </c>
    </row>
    <row r="89" spans="3:8" ht="12.75">
      <c r="C89" s="79"/>
      <c r="D89" s="80"/>
      <c r="E89" s="80"/>
      <c r="F89" s="80"/>
      <c r="G89" s="80"/>
      <c r="H89" s="232"/>
    </row>
    <row r="90" spans="3:8" ht="12.75">
      <c r="C90" s="79"/>
      <c r="D90" s="80"/>
      <c r="E90" s="80"/>
      <c r="F90" s="80"/>
      <c r="G90" s="80"/>
      <c r="H90" s="232"/>
    </row>
  </sheetData>
  <sheetProtection/>
  <mergeCells count="18">
    <mergeCell ref="C3:I3"/>
    <mergeCell ref="C5:D5"/>
    <mergeCell ref="C17:D17"/>
    <mergeCell ref="C29:D29"/>
    <mergeCell ref="C31:D31"/>
    <mergeCell ref="C32:C37"/>
    <mergeCell ref="C38:C40"/>
    <mergeCell ref="C41:C43"/>
    <mergeCell ref="C44:C46"/>
    <mergeCell ref="C47:C51"/>
    <mergeCell ref="C52:C56"/>
    <mergeCell ref="C57:C61"/>
    <mergeCell ref="C62:C64"/>
    <mergeCell ref="C65:C66"/>
    <mergeCell ref="C67:C68"/>
    <mergeCell ref="C69:C70"/>
    <mergeCell ref="C87:D87"/>
    <mergeCell ref="C88:D88"/>
  </mergeCells>
  <conditionalFormatting sqref="H88:I88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06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1.7109375" style="407" customWidth="1"/>
    <col min="2" max="2" width="14.57421875" style="406" customWidth="1"/>
    <col min="3" max="3" width="13.140625" style="406" customWidth="1"/>
    <col min="4" max="4" width="12.421875" style="406" customWidth="1"/>
    <col min="5" max="5" width="13.140625" style="406" customWidth="1"/>
    <col min="6" max="6" width="14.28125" style="406" customWidth="1"/>
    <col min="7" max="7" width="13.140625" style="407" customWidth="1"/>
    <col min="8" max="8" width="13.00390625" style="407" bestFit="1" customWidth="1"/>
    <col min="9" max="9" width="13.7109375" style="407" customWidth="1"/>
    <col min="10" max="10" width="14.00390625" style="407" customWidth="1"/>
    <col min="11" max="11" width="14.00390625" style="408" customWidth="1"/>
    <col min="12" max="12" width="13.28125" style="407" bestFit="1" customWidth="1"/>
    <col min="13" max="13" width="12.421875" style="407" bestFit="1" customWidth="1"/>
    <col min="14" max="14" width="13.00390625" style="407" bestFit="1" customWidth="1"/>
    <col min="15" max="15" width="13.28125" style="407" customWidth="1"/>
    <col min="16" max="16" width="12.421875" style="407" bestFit="1" customWidth="1"/>
    <col min="17" max="17" width="12.421875" style="407" customWidth="1"/>
    <col min="18" max="16384" width="11.421875" style="407" customWidth="1"/>
  </cols>
  <sheetData>
    <row r="2" ht="11.25">
      <c r="A2" s="405" t="s">
        <v>298</v>
      </c>
    </row>
    <row r="3" spans="2:11" ht="11.25">
      <c r="B3" s="595" t="s">
        <v>299</v>
      </c>
      <c r="C3" s="596"/>
      <c r="D3" s="596"/>
      <c r="E3" s="596"/>
      <c r="F3" s="596"/>
      <c r="G3" s="596"/>
      <c r="H3" s="596"/>
      <c r="I3" s="596"/>
      <c r="J3" s="596"/>
      <c r="K3" s="597"/>
    </row>
    <row r="4" spans="2:11" ht="11.25">
      <c r="B4" s="601"/>
      <c r="C4" s="602"/>
      <c r="D4" s="602"/>
      <c r="E4" s="602"/>
      <c r="F4" s="602"/>
      <c r="G4" s="602"/>
      <c r="H4" s="602"/>
      <c r="I4" s="602"/>
      <c r="J4" s="602"/>
      <c r="K4" s="603"/>
    </row>
    <row r="5" spans="2:11" ht="11.25">
      <c r="B5" s="298"/>
      <c r="C5" s="123"/>
      <c r="D5" s="123"/>
      <c r="E5" s="123"/>
      <c r="F5" s="123"/>
      <c r="G5" s="21"/>
      <c r="H5" s="21"/>
      <c r="I5" s="21"/>
      <c r="J5" s="321"/>
      <c r="K5" s="409"/>
    </row>
    <row r="6" spans="2:12" ht="11.25">
      <c r="B6" s="298"/>
      <c r="C6" s="123"/>
      <c r="D6" s="123"/>
      <c r="E6" s="123"/>
      <c r="F6" s="123"/>
      <c r="G6" s="21"/>
      <c r="H6" s="21"/>
      <c r="I6" s="410">
        <v>14</v>
      </c>
      <c r="J6" s="411">
        <v>0</v>
      </c>
      <c r="K6" s="321"/>
      <c r="L6" s="20"/>
    </row>
    <row r="7" spans="2:14" s="412" customFormat="1" ht="33.75" customHeight="1" thickBot="1">
      <c r="B7" s="413" t="s">
        <v>300</v>
      </c>
      <c r="C7" s="414" t="s">
        <v>301</v>
      </c>
      <c r="D7" s="414" t="s">
        <v>302</v>
      </c>
      <c r="E7" s="414" t="s">
        <v>303</v>
      </c>
      <c r="F7" s="415" t="s">
        <v>304</v>
      </c>
      <c r="G7" s="415" t="s">
        <v>305</v>
      </c>
      <c r="H7" s="415" t="s">
        <v>306</v>
      </c>
      <c r="I7" s="414" t="s">
        <v>307</v>
      </c>
      <c r="J7" s="416" t="s">
        <v>308</v>
      </c>
      <c r="K7" s="417" t="s">
        <v>309</v>
      </c>
      <c r="L7" s="418" t="s">
        <v>310</v>
      </c>
      <c r="M7" s="419">
        <v>0.01</v>
      </c>
      <c r="N7" s="412" t="s">
        <v>311</v>
      </c>
    </row>
    <row r="8" spans="2:14" ht="24" customHeight="1" thickBot="1">
      <c r="B8" s="420">
        <v>8574540.84</v>
      </c>
      <c r="C8" s="421">
        <f>126292.22+404400</f>
        <v>530692.22</v>
      </c>
      <c r="D8" s="421">
        <f>B8+C8</f>
        <v>9105233.06</v>
      </c>
      <c r="E8" s="421">
        <v>7783143.26</v>
      </c>
      <c r="F8" s="422"/>
      <c r="G8" s="421"/>
      <c r="H8" s="421"/>
      <c r="I8" s="421">
        <f>(E8+F8-O38)/I6</f>
        <v>528483.2142857143</v>
      </c>
      <c r="J8" s="423">
        <f>(I8*J6)+L8+G8</f>
        <v>0</v>
      </c>
      <c r="K8" s="424">
        <f>J8+E8</f>
        <v>7783143.26</v>
      </c>
      <c r="L8" s="425"/>
      <c r="M8" s="426"/>
      <c r="N8" s="427"/>
    </row>
    <row r="9" spans="2:11" ht="11.25">
      <c r="B9" s="305"/>
      <c r="C9" s="123"/>
      <c r="D9" s="123"/>
      <c r="E9" s="123"/>
      <c r="F9" s="123"/>
      <c r="G9" s="21"/>
      <c r="H9" s="21"/>
      <c r="I9" s="21"/>
      <c r="J9" s="321"/>
      <c r="K9" s="409"/>
    </row>
    <row r="10" spans="2:11" ht="11.25">
      <c r="B10" s="298"/>
      <c r="C10" s="21"/>
      <c r="D10" s="21"/>
      <c r="E10" s="123"/>
      <c r="F10" s="428">
        <v>0.028</v>
      </c>
      <c r="G10" s="103"/>
      <c r="H10" s="21"/>
      <c r="I10" s="21"/>
      <c r="J10" s="321"/>
      <c r="K10" s="409"/>
    </row>
    <row r="11" spans="2:12" s="412" customFormat="1" ht="35.25" customHeight="1">
      <c r="B11" s="429" t="s">
        <v>312</v>
      </c>
      <c r="C11" s="430" t="s">
        <v>353</v>
      </c>
      <c r="D11" s="430"/>
      <c r="E11" s="415" t="s">
        <v>313</v>
      </c>
      <c r="F11" s="431" t="s">
        <v>354</v>
      </c>
      <c r="G11" s="429" t="s">
        <v>355</v>
      </c>
      <c r="H11" s="414" t="s">
        <v>356</v>
      </c>
      <c r="I11" s="415" t="s">
        <v>357</v>
      </c>
      <c r="J11" s="415" t="s">
        <v>361</v>
      </c>
      <c r="K11" s="429" t="s">
        <v>315</v>
      </c>
      <c r="L11" s="417" t="s">
        <v>316</v>
      </c>
    </row>
    <row r="12" spans="2:12" s="406" customFormat="1" ht="11.25">
      <c r="B12" s="432">
        <f>D8-E8-J8</f>
        <v>1322089.8000000007</v>
      </c>
      <c r="C12" s="314">
        <v>7499415.54</v>
      </c>
      <c r="D12" s="314"/>
      <c r="E12" s="315">
        <v>-805655.845197071</v>
      </c>
      <c r="F12" s="433">
        <f>C12+D12+E12</f>
        <v>6693759.694802929</v>
      </c>
      <c r="G12" s="433">
        <f>F12*F10</f>
        <v>187425.27145448202</v>
      </c>
      <c r="H12" s="434">
        <f>F12+G12</f>
        <v>6881184.966257411</v>
      </c>
      <c r="I12" s="435">
        <f>'gasto computable'!G31+'gasto computable'!G42+'gasto computable'!G43</f>
        <v>0</v>
      </c>
      <c r="J12" s="436">
        <f>I12+H12</f>
        <v>6881184.966257411</v>
      </c>
      <c r="K12" s="437">
        <f>K8-I12</f>
        <v>7783143.26</v>
      </c>
      <c r="L12" s="438">
        <f>H12-K12</f>
        <v>-901958.2937425887</v>
      </c>
    </row>
    <row r="16" spans="4:11" ht="11.25">
      <c r="D16" s="407"/>
      <c r="E16" s="439" t="s">
        <v>358</v>
      </c>
      <c r="F16" s="440"/>
      <c r="H16" s="406"/>
      <c r="K16" s="407"/>
    </row>
    <row r="17" spans="2:27" ht="11.25">
      <c r="B17" s="439" t="s">
        <v>318</v>
      </c>
      <c r="C17" s="440"/>
      <c r="D17" s="407"/>
      <c r="E17" s="441">
        <v>44021</v>
      </c>
      <c r="F17" s="442">
        <v>140416.29</v>
      </c>
      <c r="K17" s="443"/>
      <c r="L17" s="593" t="s">
        <v>360</v>
      </c>
      <c r="M17" s="606"/>
      <c r="N17" s="594"/>
      <c r="O17" s="443"/>
      <c r="P17" s="593" t="s">
        <v>319</v>
      </c>
      <c r="Q17" s="606"/>
      <c r="R17" s="594"/>
      <c r="S17" s="593" t="s">
        <v>320</v>
      </c>
      <c r="T17" s="606"/>
      <c r="U17" s="594"/>
      <c r="V17" s="593" t="s">
        <v>321</v>
      </c>
      <c r="W17" s="606"/>
      <c r="X17" s="594"/>
      <c r="Y17" s="593" t="s">
        <v>322</v>
      </c>
      <c r="Z17" s="606"/>
      <c r="AA17" s="594"/>
    </row>
    <row r="18" spans="2:27" ht="13.5" customHeight="1">
      <c r="B18" s="441">
        <v>43717</v>
      </c>
      <c r="C18" s="442">
        <v>176178.06</v>
      </c>
      <c r="D18" s="407"/>
      <c r="E18" s="444">
        <v>44087</v>
      </c>
      <c r="F18" s="445">
        <v>-273159.02</v>
      </c>
      <c r="K18" s="446" t="s">
        <v>323</v>
      </c>
      <c r="L18" s="446" t="s">
        <v>324</v>
      </c>
      <c r="M18" s="446" t="s">
        <v>325</v>
      </c>
      <c r="N18" s="446" t="s">
        <v>326</v>
      </c>
      <c r="O18" s="446" t="s">
        <v>323</v>
      </c>
      <c r="P18" s="446" t="s">
        <v>324</v>
      </c>
      <c r="Q18" s="446" t="s">
        <v>325</v>
      </c>
      <c r="R18" s="446" t="s">
        <v>326</v>
      </c>
      <c r="S18" s="439" t="s">
        <v>327</v>
      </c>
      <c r="T18" s="447" t="s">
        <v>325</v>
      </c>
      <c r="U18" s="440" t="s">
        <v>326</v>
      </c>
      <c r="V18" s="439" t="s">
        <v>327</v>
      </c>
      <c r="W18" s="447" t="s">
        <v>325</v>
      </c>
      <c r="X18" s="440" t="s">
        <v>326</v>
      </c>
      <c r="Y18" s="448" t="s">
        <v>327</v>
      </c>
      <c r="Z18" s="448" t="s">
        <v>325</v>
      </c>
      <c r="AA18" s="449" t="s">
        <v>326</v>
      </c>
    </row>
    <row r="19" spans="2:27" ht="13.5" customHeight="1">
      <c r="B19" s="444">
        <v>43718</v>
      </c>
      <c r="C19" s="445">
        <v>140357.57</v>
      </c>
      <c r="D19" s="407"/>
      <c r="E19" s="444">
        <v>44111</v>
      </c>
      <c r="F19" s="445">
        <v>-292094.43</v>
      </c>
      <c r="K19" s="450" t="s">
        <v>328</v>
      </c>
      <c r="L19" s="451">
        <v>438118.19</v>
      </c>
      <c r="M19" s="451"/>
      <c r="N19" s="451">
        <f>33434.02+151133.05</f>
        <v>184567.06999999998</v>
      </c>
      <c r="O19" s="450" t="s">
        <v>328</v>
      </c>
      <c r="P19" s="451">
        <v>418567.04</v>
      </c>
      <c r="Q19" s="451"/>
      <c r="R19" s="451">
        <v>153702.28</v>
      </c>
      <c r="S19" s="452">
        <v>421019.44</v>
      </c>
      <c r="T19" s="124"/>
      <c r="U19" s="445">
        <v>116433.05</v>
      </c>
      <c r="V19" s="452">
        <v>351473.14</v>
      </c>
      <c r="W19" s="124">
        <v>45626.15</v>
      </c>
      <c r="X19" s="445">
        <f>125846.34+218</f>
        <v>126064.34</v>
      </c>
      <c r="Y19" s="296">
        <v>366853.81</v>
      </c>
      <c r="Z19" s="313">
        <v>40592.33</v>
      </c>
      <c r="AA19" s="453">
        <v>110205.27</v>
      </c>
    </row>
    <row r="20" spans="2:27" ht="13.5" customHeight="1">
      <c r="B20" s="444">
        <v>43777</v>
      </c>
      <c r="C20" s="445">
        <v>123512.85</v>
      </c>
      <c r="D20" s="407"/>
      <c r="E20" s="444">
        <v>44174</v>
      </c>
      <c r="F20" s="445">
        <v>-15840.47</v>
      </c>
      <c r="K20" s="454" t="s">
        <v>329</v>
      </c>
      <c r="L20" s="451">
        <v>412856.32</v>
      </c>
      <c r="M20" s="451"/>
      <c r="N20" s="451">
        <v>136872.37</v>
      </c>
      <c r="O20" s="454" t="s">
        <v>329</v>
      </c>
      <c r="P20" s="451">
        <v>432819.67</v>
      </c>
      <c r="Q20" s="451"/>
      <c r="R20" s="451">
        <v>147518.74</v>
      </c>
      <c r="S20" s="452">
        <v>368214.4</v>
      </c>
      <c r="T20" s="124"/>
      <c r="U20" s="445">
        <v>117098.78</v>
      </c>
      <c r="V20" s="452">
        <v>344380.96</v>
      </c>
      <c r="W20" s="124">
        <v>46282.36</v>
      </c>
      <c r="X20" s="445">
        <v>131742.27</v>
      </c>
      <c r="Y20" s="123">
        <v>360476.41</v>
      </c>
      <c r="Z20" s="124">
        <v>39890.89</v>
      </c>
      <c r="AA20" s="455">
        <v>113351.02</v>
      </c>
    </row>
    <row r="21" spans="2:27" ht="11.25" customHeight="1">
      <c r="B21" s="444">
        <v>43787</v>
      </c>
      <c r="C21" s="445">
        <v>136512.85</v>
      </c>
      <c r="D21" s="407"/>
      <c r="E21" s="444">
        <v>44186</v>
      </c>
      <c r="F21" s="445">
        <v>-142521.49</v>
      </c>
      <c r="K21" s="454" t="s">
        <v>330</v>
      </c>
      <c r="L21" s="451">
        <v>390093.44</v>
      </c>
      <c r="M21" s="451"/>
      <c r="N21" s="451">
        <v>121658.41</v>
      </c>
      <c r="O21" s="454" t="s">
        <v>330</v>
      </c>
      <c r="P21" s="451">
        <v>417978.52</v>
      </c>
      <c r="Q21" s="451"/>
      <c r="R21" s="451">
        <v>141455.44</v>
      </c>
      <c r="S21" s="452">
        <v>374226.35</v>
      </c>
      <c r="T21" s="124"/>
      <c r="U21" s="445">
        <v>120386.72</v>
      </c>
      <c r="V21" s="452">
        <v>361249.7</v>
      </c>
      <c r="W21" s="124">
        <v>46264.29</v>
      </c>
      <c r="X21" s="445">
        <v>126675.28</v>
      </c>
      <c r="Y21" s="123">
        <v>322510.75</v>
      </c>
      <c r="Z21" s="124">
        <v>40384.48</v>
      </c>
      <c r="AA21" s="455">
        <v>110508.4</v>
      </c>
    </row>
    <row r="22" spans="2:27" ht="11.25">
      <c r="B22" s="444">
        <v>43795</v>
      </c>
      <c r="C22" s="445">
        <v>-36462.51</v>
      </c>
      <c r="D22" s="407"/>
      <c r="E22" s="444">
        <v>44200</v>
      </c>
      <c r="F22" s="445">
        <v>-150312.81</v>
      </c>
      <c r="K22" s="454" t="s">
        <v>331</v>
      </c>
      <c r="L22" s="451">
        <v>496961.78</v>
      </c>
      <c r="M22" s="451"/>
      <c r="N22" s="451">
        <f>122245.86+23603.65</f>
        <v>145849.51</v>
      </c>
      <c r="O22" s="454" t="s">
        <v>331</v>
      </c>
      <c r="P22" s="451">
        <v>427226.87</v>
      </c>
      <c r="Q22" s="451"/>
      <c r="R22" s="451">
        <v>140504.15</v>
      </c>
      <c r="S22" s="452">
        <v>369341.54</v>
      </c>
      <c r="T22" s="124"/>
      <c r="U22" s="445">
        <v>119678.16</v>
      </c>
      <c r="V22" s="452">
        <v>352688.68</v>
      </c>
      <c r="W22" s="124">
        <v>46264.28</v>
      </c>
      <c r="X22" s="445">
        <v>127848.49</v>
      </c>
      <c r="Y22" s="123">
        <v>322742.77</v>
      </c>
      <c r="Z22" s="124">
        <v>43858.76</v>
      </c>
      <c r="AA22" s="455">
        <v>112772.44</v>
      </c>
    </row>
    <row r="23" spans="2:27" ht="11.25">
      <c r="B23" s="444">
        <v>43809</v>
      </c>
      <c r="C23" s="445">
        <v>-53957.02</v>
      </c>
      <c r="D23" s="407"/>
      <c r="E23" s="444">
        <v>44215</v>
      </c>
      <c r="F23" s="445">
        <v>28677.51</v>
      </c>
      <c r="K23" s="454" t="s">
        <v>332</v>
      </c>
      <c r="L23" s="451">
        <v>418525.39</v>
      </c>
      <c r="M23" s="451"/>
      <c r="N23" s="451">
        <v>130502.19</v>
      </c>
      <c r="O23" s="454" t="s">
        <v>332</v>
      </c>
      <c r="P23" s="451">
        <v>389953.92</v>
      </c>
      <c r="Q23" s="451"/>
      <c r="R23" s="451">
        <v>130824.38</v>
      </c>
      <c r="S23" s="452">
        <v>364584.68</v>
      </c>
      <c r="T23" s="124"/>
      <c r="U23" s="445">
        <v>117039.34</v>
      </c>
      <c r="V23" s="452">
        <v>359006.01</v>
      </c>
      <c r="W23" s="124">
        <v>46264.28</v>
      </c>
      <c r="X23" s="445">
        <v>132813.3</v>
      </c>
      <c r="Y23" s="123">
        <v>327723.88</v>
      </c>
      <c r="Z23" s="124">
        <v>49108.42</v>
      </c>
      <c r="AA23" s="455">
        <v>111663.3</v>
      </c>
    </row>
    <row r="24" spans="2:27" ht="11.25">
      <c r="B24" s="444">
        <v>43810</v>
      </c>
      <c r="C24" s="445">
        <v>-31544.85</v>
      </c>
      <c r="D24" s="407"/>
      <c r="E24" s="444"/>
      <c r="F24" s="445"/>
      <c r="K24" s="454" t="s">
        <v>333</v>
      </c>
      <c r="L24" s="451">
        <v>453969.17</v>
      </c>
      <c r="M24" s="451"/>
      <c r="N24" s="451">
        <v>137838.43</v>
      </c>
      <c r="O24" s="454" t="s">
        <v>333</v>
      </c>
      <c r="P24" s="451">
        <v>400739.42</v>
      </c>
      <c r="Q24" s="451"/>
      <c r="R24" s="451">
        <v>128938.79</v>
      </c>
      <c r="S24" s="452">
        <f>365705.95+2119.42</f>
        <v>367825.37</v>
      </c>
      <c r="T24" s="124"/>
      <c r="U24" s="445">
        <v>120936.6</v>
      </c>
      <c r="V24" s="452">
        <v>399057.59</v>
      </c>
      <c r="W24" s="124"/>
      <c r="X24" s="445">
        <v>125598.11</v>
      </c>
      <c r="Y24" s="123">
        <v>346149.17</v>
      </c>
      <c r="Z24" s="124">
        <v>45570</v>
      </c>
      <c r="AA24" s="455">
        <v>114073.86</v>
      </c>
    </row>
    <row r="25" spans="2:27" ht="11.25">
      <c r="B25" s="444">
        <v>43818</v>
      </c>
      <c r="C25" s="445">
        <v>-34689.59</v>
      </c>
      <c r="D25" s="407"/>
      <c r="E25" s="444"/>
      <c r="F25" s="445"/>
      <c r="K25" s="454" t="s">
        <v>334</v>
      </c>
      <c r="L25" s="451">
        <v>433318.26</v>
      </c>
      <c r="M25" s="451"/>
      <c r="N25" s="451">
        <v>134132.55</v>
      </c>
      <c r="O25" s="454" t="s">
        <v>334</v>
      </c>
      <c r="P25" s="451">
        <v>397307.35</v>
      </c>
      <c r="Q25" s="451"/>
      <c r="R25" s="451">
        <v>134660.65</v>
      </c>
      <c r="S25" s="452">
        <v>385391.74</v>
      </c>
      <c r="T25" s="124"/>
      <c r="U25" s="445">
        <v>126912.33</v>
      </c>
      <c r="V25" s="452">
        <v>400441.51</v>
      </c>
      <c r="W25" s="124"/>
      <c r="X25" s="445">
        <v>125420.64</v>
      </c>
      <c r="Y25" s="123">
        <v>333504</v>
      </c>
      <c r="Z25" s="124">
        <v>44348.58</v>
      </c>
      <c r="AA25" s="457">
        <v>110586.39</v>
      </c>
    </row>
    <row r="26" spans="2:27" ht="11.25">
      <c r="B26" s="444">
        <v>41263</v>
      </c>
      <c r="C26" s="445">
        <v>-38925.82</v>
      </c>
      <c r="D26" s="407"/>
      <c r="E26" s="444"/>
      <c r="F26" s="445"/>
      <c r="K26" s="454" t="s">
        <v>335</v>
      </c>
      <c r="L26" s="451">
        <v>444179.11</v>
      </c>
      <c r="M26" s="451"/>
      <c r="N26" s="451">
        <v>137884.37</v>
      </c>
      <c r="O26" s="454" t="s">
        <v>335</v>
      </c>
      <c r="P26" s="451">
        <v>423696.17</v>
      </c>
      <c r="Q26" s="451"/>
      <c r="R26" s="451">
        <v>143082.34</v>
      </c>
      <c r="S26" s="452">
        <v>432734.54</v>
      </c>
      <c r="T26" s="124"/>
      <c r="U26" s="445">
        <v>136827.33</v>
      </c>
      <c r="V26" s="452">
        <v>419179.99</v>
      </c>
      <c r="W26" s="124"/>
      <c r="X26" s="445">
        <v>126815.29</v>
      </c>
      <c r="Y26" s="123">
        <v>351791.22</v>
      </c>
      <c r="Z26" s="124">
        <v>43784.18</v>
      </c>
      <c r="AA26" s="455">
        <v>117688.21</v>
      </c>
    </row>
    <row r="27" spans="2:27" ht="11.25">
      <c r="B27" s="444">
        <v>43826</v>
      </c>
      <c r="C27" s="445">
        <v>-27556.98</v>
      </c>
      <c r="D27" s="407"/>
      <c r="E27" s="444"/>
      <c r="F27" s="445">
        <v>0</v>
      </c>
      <c r="K27" s="454" t="s">
        <v>336</v>
      </c>
      <c r="L27" s="451">
        <v>445490.33</v>
      </c>
      <c r="M27" s="451"/>
      <c r="N27" s="451">
        <v>140185</v>
      </c>
      <c r="O27" s="454" t="s">
        <v>336</v>
      </c>
      <c r="P27" s="451">
        <v>425676.1</v>
      </c>
      <c r="Q27" s="451"/>
      <c r="R27" s="451">
        <v>146549.78</v>
      </c>
      <c r="S27" s="452">
        <v>373221.23</v>
      </c>
      <c r="T27" s="124"/>
      <c r="U27" s="445">
        <v>121146.59</v>
      </c>
      <c r="V27" s="452">
        <v>396395.19</v>
      </c>
      <c r="W27" s="124"/>
      <c r="X27" s="445">
        <v>125846.39</v>
      </c>
      <c r="Y27" s="123">
        <v>342995.26</v>
      </c>
      <c r="Z27" s="124">
        <v>46259.24</v>
      </c>
      <c r="AA27" s="455">
        <v>124113.94</v>
      </c>
    </row>
    <row r="28" spans="2:27" ht="11.25">
      <c r="B28" s="444">
        <v>43833</v>
      </c>
      <c r="C28" s="445">
        <v>24799.75</v>
      </c>
      <c r="D28" s="407"/>
      <c r="E28" s="444"/>
      <c r="F28" s="445"/>
      <c r="K28" s="454" t="s">
        <v>338</v>
      </c>
      <c r="L28" s="451">
        <v>457526.21</v>
      </c>
      <c r="M28" s="451"/>
      <c r="N28" s="451">
        <v>141196.98</v>
      </c>
      <c r="O28" s="454" t="s">
        <v>338</v>
      </c>
      <c r="P28" s="451">
        <v>416399.21</v>
      </c>
      <c r="Q28" s="451"/>
      <c r="R28" s="451">
        <v>144751.14</v>
      </c>
      <c r="S28" s="452">
        <v>361150.21</v>
      </c>
      <c r="T28" s="124"/>
      <c r="U28" s="445">
        <v>120555.66</v>
      </c>
      <c r="V28" s="452"/>
      <c r="W28" s="124"/>
      <c r="X28" s="445"/>
      <c r="Y28" s="123">
        <v>345444.1</v>
      </c>
      <c r="Z28" s="124">
        <v>46259.24</v>
      </c>
      <c r="AA28" s="455">
        <v>119029.79</v>
      </c>
    </row>
    <row r="29" spans="2:27" ht="11.25">
      <c r="B29" s="444"/>
      <c r="C29" s="445"/>
      <c r="D29" s="407"/>
      <c r="E29" s="456"/>
      <c r="F29" s="316"/>
      <c r="K29" s="454" t="s">
        <v>339</v>
      </c>
      <c r="L29" s="451">
        <v>460105.29</v>
      </c>
      <c r="M29" s="451"/>
      <c r="N29" s="451">
        <v>138108.15</v>
      </c>
      <c r="O29" s="454" t="s">
        <v>339</v>
      </c>
      <c r="P29" s="451">
        <v>419230.6</v>
      </c>
      <c r="Q29" s="451"/>
      <c r="R29" s="451">
        <v>155744.51</v>
      </c>
      <c r="S29" s="452">
        <v>415924.83</v>
      </c>
      <c r="T29" s="124"/>
      <c r="U29" s="445">
        <v>130000</v>
      </c>
      <c r="V29" s="305"/>
      <c r="W29" s="21"/>
      <c r="X29" s="321"/>
      <c r="Y29" s="123">
        <v>343833.15</v>
      </c>
      <c r="Z29" s="124">
        <v>47188.87</v>
      </c>
      <c r="AA29" s="455">
        <v>120514.11</v>
      </c>
    </row>
    <row r="30" spans="2:27" ht="11.25">
      <c r="B30" s="456"/>
      <c r="C30" s="316"/>
      <c r="D30" s="407"/>
      <c r="K30" s="454" t="s">
        <v>340</v>
      </c>
      <c r="L30" s="451">
        <v>455047.96</v>
      </c>
      <c r="M30" s="451"/>
      <c r="N30" s="406">
        <v>142784.2</v>
      </c>
      <c r="O30" s="454" t="s">
        <v>340</v>
      </c>
      <c r="P30" s="451">
        <v>414007.82</v>
      </c>
      <c r="Q30" s="451"/>
      <c r="R30" s="451">
        <v>144375.67</v>
      </c>
      <c r="S30" s="452">
        <v>461250.35</v>
      </c>
      <c r="T30" s="124"/>
      <c r="U30" s="445">
        <f>146350.89+6881.6</f>
        <v>153232.49000000002</v>
      </c>
      <c r="V30" s="305"/>
      <c r="W30" s="21"/>
      <c r="X30" s="321"/>
      <c r="Y30" s="458">
        <v>383926.43</v>
      </c>
      <c r="Z30" s="459">
        <v>45173.57</v>
      </c>
      <c r="AA30" s="455">
        <v>125629.08</v>
      </c>
    </row>
    <row r="31" spans="4:27" ht="11.25">
      <c r="D31" s="407"/>
      <c r="K31" s="443" t="s">
        <v>341</v>
      </c>
      <c r="L31" s="460">
        <f>SUM(L19:L30)/K32</f>
        <v>442182.62083333335</v>
      </c>
      <c r="M31" s="460"/>
      <c r="N31" s="460">
        <f>SUM(N19:N30)/K32</f>
        <v>140964.93583333332</v>
      </c>
      <c r="O31" s="443" t="s">
        <v>341</v>
      </c>
      <c r="P31" s="460">
        <f>SUM(P19:P30)/O32</f>
        <v>415300.2241666667</v>
      </c>
      <c r="Q31" s="460"/>
      <c r="R31" s="460">
        <f>SUM(R19:R30)/O32</f>
        <v>142675.65583333332</v>
      </c>
      <c r="S31" s="460">
        <f aca="true" t="shared" si="0" ref="S31:X31">SUM(S19:S30)/$O$32</f>
        <v>391240.3899999999</v>
      </c>
      <c r="T31" s="460">
        <f t="shared" si="0"/>
        <v>0</v>
      </c>
      <c r="U31" s="460">
        <f t="shared" si="0"/>
        <v>125020.58749999998</v>
      </c>
      <c r="V31" s="460">
        <f t="shared" si="0"/>
        <v>281989.3975</v>
      </c>
      <c r="W31" s="460">
        <f t="shared" si="0"/>
        <v>19225.113333333335</v>
      </c>
      <c r="X31" s="460">
        <f t="shared" si="0"/>
        <v>95735.34249999998</v>
      </c>
      <c r="Y31" s="460">
        <f>SUM(Y19:Y30)/12</f>
        <v>345662.57916666666</v>
      </c>
      <c r="Z31" s="461">
        <f>SUM(Z19:Z30)/12</f>
        <v>44368.213333333326</v>
      </c>
      <c r="AA31" s="462">
        <f>SUM(AA19:AA30)/12</f>
        <v>115844.65083333336</v>
      </c>
    </row>
    <row r="32" spans="4:30" ht="11.25">
      <c r="D32" s="407"/>
      <c r="K32" s="463">
        <v>12</v>
      </c>
      <c r="L32" s="464"/>
      <c r="M32" s="464"/>
      <c r="N32" s="465">
        <f>N31+L31</f>
        <v>583147.5566666666</v>
      </c>
      <c r="O32" s="463">
        <v>12</v>
      </c>
      <c r="P32" s="464"/>
      <c r="Q32" s="464"/>
      <c r="R32" s="465">
        <f>R31+P31</f>
        <v>557975.88</v>
      </c>
      <c r="U32" s="432">
        <f>S31+T31+U31</f>
        <v>516260.97749999986</v>
      </c>
      <c r="AA32" s="465">
        <f>SUM(V31:X31)</f>
        <v>396949.85333333333</v>
      </c>
      <c r="AD32" s="466">
        <f>Y31+Z31+AA31</f>
        <v>505875.44333333336</v>
      </c>
    </row>
    <row r="33" ht="11.25">
      <c r="D33" s="407"/>
    </row>
    <row r="34" ht="11.25">
      <c r="D34" s="407"/>
    </row>
    <row r="35" ht="11.25">
      <c r="D35" s="407"/>
    </row>
    <row r="36" spans="2:14" ht="11.25">
      <c r="B36" s="439" t="s">
        <v>317</v>
      </c>
      <c r="C36" s="440"/>
      <c r="D36" s="407"/>
      <c r="K36" s="593" t="s">
        <v>359</v>
      </c>
      <c r="L36" s="606"/>
      <c r="M36" s="606"/>
      <c r="N36" s="594"/>
    </row>
    <row r="37" spans="2:14" ht="11.25">
      <c r="B37" s="441">
        <v>43362</v>
      </c>
      <c r="C37" s="442">
        <v>233466.27</v>
      </c>
      <c r="D37" s="407"/>
      <c r="K37" s="446" t="s">
        <v>323</v>
      </c>
      <c r="L37" s="448" t="s">
        <v>342</v>
      </c>
      <c r="M37" s="448" t="s">
        <v>343</v>
      </c>
      <c r="N37" s="449" t="s">
        <v>344</v>
      </c>
    </row>
    <row r="38" spans="2:15" ht="11.25">
      <c r="B38" s="444">
        <v>43390</v>
      </c>
      <c r="C38" s="445">
        <v>378794.04</v>
      </c>
      <c r="D38" s="407"/>
      <c r="K38" s="450" t="s">
        <v>333</v>
      </c>
      <c r="L38" s="296">
        <v>384378.26</v>
      </c>
      <c r="M38" s="313"/>
      <c r="N38" s="453"/>
      <c r="O38" s="467">
        <f>SUM(L38:N38)</f>
        <v>384378.26</v>
      </c>
    </row>
    <row r="39" spans="2:15" ht="11.25">
      <c r="B39" s="444">
        <v>43412</v>
      </c>
      <c r="C39" s="445">
        <v>364679.15</v>
      </c>
      <c r="D39" s="407"/>
      <c r="K39" s="468" t="s">
        <v>340</v>
      </c>
      <c r="L39" s="315">
        <v>379688.17</v>
      </c>
      <c r="M39" s="300"/>
      <c r="N39" s="438"/>
      <c r="O39" s="467">
        <f>SUM(L39:N39)</f>
        <v>379688.17</v>
      </c>
    </row>
    <row r="40" spans="2:15" ht="11.25">
      <c r="B40" s="444">
        <v>43430</v>
      </c>
      <c r="C40" s="445">
        <v>324533.19</v>
      </c>
      <c r="D40" s="407"/>
      <c r="K40" s="443" t="s">
        <v>345</v>
      </c>
      <c r="L40" s="469"/>
      <c r="M40" s="469"/>
      <c r="N40" s="462">
        <f>SUM(L38:N39)</f>
        <v>764066.4299999999</v>
      </c>
      <c r="O40" s="467">
        <f>SUM(L40:N40)</f>
        <v>764066.4299999999</v>
      </c>
    </row>
    <row r="41" spans="2:4" ht="11.25">
      <c r="B41" s="444">
        <v>43444</v>
      </c>
      <c r="C41" s="445">
        <v>301125.78</v>
      </c>
      <c r="D41" s="407"/>
    </row>
    <row r="42" spans="2:7" ht="11.25">
      <c r="B42" s="444">
        <v>43468</v>
      </c>
      <c r="C42" s="445">
        <v>164389.75</v>
      </c>
      <c r="D42" s="407"/>
      <c r="G42" s="406"/>
    </row>
    <row r="43" spans="2:14" ht="11.25">
      <c r="B43" s="444"/>
      <c r="C43" s="445"/>
      <c r="D43" s="407"/>
      <c r="K43" s="593" t="s">
        <v>347</v>
      </c>
      <c r="L43" s="606"/>
      <c r="M43" s="606"/>
      <c r="N43" s="594"/>
    </row>
    <row r="44" spans="2:14" ht="11.25">
      <c r="B44" s="444"/>
      <c r="C44" s="445"/>
      <c r="K44" s="446" t="s">
        <v>323</v>
      </c>
      <c r="L44" s="448" t="s">
        <v>342</v>
      </c>
      <c r="M44" s="448" t="s">
        <v>343</v>
      </c>
      <c r="N44" s="449" t="s">
        <v>344</v>
      </c>
    </row>
    <row r="45" spans="2:15" ht="11.25">
      <c r="B45" s="456"/>
      <c r="C45" s="316"/>
      <c r="K45" s="450" t="s">
        <v>333</v>
      </c>
      <c r="L45" s="296">
        <f>293267.34-N45</f>
        <v>268238.74000000005</v>
      </c>
      <c r="M45" s="313">
        <v>44813.61</v>
      </c>
      <c r="N45" s="453">
        <v>25028.6</v>
      </c>
      <c r="O45" s="467">
        <f>SUM(L45:N45)</f>
        <v>338080.95</v>
      </c>
    </row>
    <row r="46" spans="11:15" ht="11.25">
      <c r="K46" s="468" t="s">
        <v>340</v>
      </c>
      <c r="L46" s="315">
        <v>270292.42</v>
      </c>
      <c r="M46" s="300">
        <v>45033</v>
      </c>
      <c r="N46" s="438">
        <v>24561.58</v>
      </c>
      <c r="O46" s="467">
        <f>SUM(L46:N46)</f>
        <v>339887</v>
      </c>
    </row>
    <row r="47" spans="11:15" ht="11.25">
      <c r="K47" s="443" t="s">
        <v>345</v>
      </c>
      <c r="L47" s="469"/>
      <c r="M47" s="469"/>
      <c r="N47" s="462">
        <f>SUM(L45:N46)</f>
        <v>677967.95</v>
      </c>
      <c r="O47" s="467">
        <f>SUM(L47:N47)</f>
        <v>677967.95</v>
      </c>
    </row>
    <row r="48" spans="2:3" ht="11.25">
      <c r="B48" s="439" t="s">
        <v>337</v>
      </c>
      <c r="C48" s="440"/>
    </row>
    <row r="49" spans="2:14" ht="11.25">
      <c r="B49" s="441">
        <v>42830</v>
      </c>
      <c r="C49" s="442">
        <v>642491.71</v>
      </c>
      <c r="K49" s="593" t="s">
        <v>348</v>
      </c>
      <c r="L49" s="606"/>
      <c r="M49" s="606"/>
      <c r="N49" s="594"/>
    </row>
    <row r="50" spans="2:14" ht="11.25">
      <c r="B50" s="444">
        <v>42884</v>
      </c>
      <c r="C50" s="445">
        <v>453167.39</v>
      </c>
      <c r="K50" s="446" t="s">
        <v>323</v>
      </c>
      <c r="L50" s="448" t="s">
        <v>342</v>
      </c>
      <c r="M50" s="448" t="s">
        <v>343</v>
      </c>
      <c r="N50" s="449" t="s">
        <v>344</v>
      </c>
    </row>
    <row r="51" spans="2:15" ht="11.25">
      <c r="B51" s="444">
        <v>42908</v>
      </c>
      <c r="C51" s="445">
        <v>80040.31</v>
      </c>
      <c r="K51" s="450" t="s">
        <v>333</v>
      </c>
      <c r="L51" s="296">
        <v>293267.34</v>
      </c>
      <c r="M51" s="313">
        <v>44813.61</v>
      </c>
      <c r="N51" s="453"/>
      <c r="O51" s="467">
        <f>SUM(L51:N51)</f>
        <v>338080.95</v>
      </c>
    </row>
    <row r="52" spans="2:15" ht="11.25">
      <c r="B52" s="444">
        <v>42909</v>
      </c>
      <c r="C52" s="445">
        <v>9040.31</v>
      </c>
      <c r="K52" s="468" t="s">
        <v>340</v>
      </c>
      <c r="L52" s="315">
        <v>310945.12</v>
      </c>
      <c r="M52" s="300">
        <v>42697.39</v>
      </c>
      <c r="N52" s="438"/>
      <c r="O52" s="467">
        <f>SUM(L52:N52)</f>
        <v>353642.51</v>
      </c>
    </row>
    <row r="53" spans="2:15" ht="11.25">
      <c r="B53" s="444">
        <v>42920</v>
      </c>
      <c r="C53" s="445">
        <v>-34608.39</v>
      </c>
      <c r="D53" s="470"/>
      <c r="K53" s="443" t="s">
        <v>345</v>
      </c>
      <c r="L53" s="469"/>
      <c r="M53" s="469"/>
      <c r="N53" s="462">
        <f>SUM(L51:N52)</f>
        <v>691723.4600000001</v>
      </c>
      <c r="O53" s="467">
        <f>SUM(L53:N53)</f>
        <v>691723.4600000001</v>
      </c>
    </row>
    <row r="54" spans="2:4" ht="11.25">
      <c r="B54" s="444">
        <v>42933</v>
      </c>
      <c r="C54" s="445">
        <v>33102.94</v>
      </c>
      <c r="D54" s="471"/>
    </row>
    <row r="55" spans="2:14" ht="11.25">
      <c r="B55" s="444">
        <v>42969</v>
      </c>
      <c r="C55" s="445">
        <v>40953.27</v>
      </c>
      <c r="D55" s="471"/>
      <c r="K55" s="593" t="s">
        <v>349</v>
      </c>
      <c r="L55" s="606"/>
      <c r="M55" s="606"/>
      <c r="N55" s="594"/>
    </row>
    <row r="56" spans="2:14" ht="11.25">
      <c r="B56" s="444">
        <v>42976</v>
      </c>
      <c r="C56" s="445">
        <v>226744.74</v>
      </c>
      <c r="D56" s="471"/>
      <c r="K56" s="446" t="s">
        <v>323</v>
      </c>
      <c r="L56" s="448" t="s">
        <v>342</v>
      </c>
      <c r="M56" s="448" t="s">
        <v>343</v>
      </c>
      <c r="N56" s="449" t="s">
        <v>344</v>
      </c>
    </row>
    <row r="57" spans="2:15" ht="11.25">
      <c r="B57" s="444">
        <v>43005</v>
      </c>
      <c r="C57" s="445">
        <v>244800.57</v>
      </c>
      <c r="D57" s="472"/>
      <c r="K57" s="450" t="s">
        <v>333</v>
      </c>
      <c r="L57" s="296">
        <v>309268.16</v>
      </c>
      <c r="M57" s="313">
        <v>45603.95</v>
      </c>
      <c r="N57" s="453"/>
      <c r="O57" s="467">
        <f>SUM(L57:N57)</f>
        <v>354872.11</v>
      </c>
    </row>
    <row r="58" spans="2:15" ht="11.25">
      <c r="B58" s="444">
        <v>43032</v>
      </c>
      <c r="C58" s="445">
        <v>79344.59</v>
      </c>
      <c r="K58" s="468" t="s">
        <v>340</v>
      </c>
      <c r="L58" s="315"/>
      <c r="M58" s="300"/>
      <c r="N58" s="438"/>
      <c r="O58" s="467">
        <f>SUM(L58:N58)</f>
        <v>0</v>
      </c>
    </row>
    <row r="59" spans="2:15" ht="11.25">
      <c r="B59" s="444"/>
      <c r="C59" s="445"/>
      <c r="K59" s="443" t="s">
        <v>345</v>
      </c>
      <c r="L59" s="469"/>
      <c r="M59" s="469"/>
      <c r="N59" s="462">
        <f>SUM(L57:N58)</f>
        <v>354872.11</v>
      </c>
      <c r="O59" s="467">
        <f>SUM(L59:N59)</f>
        <v>354872.11</v>
      </c>
    </row>
    <row r="60" spans="2:3" ht="11.25">
      <c r="B60" s="456"/>
      <c r="C60" s="316"/>
    </row>
    <row r="61" spans="2:3" ht="11.25">
      <c r="B61" s="407"/>
      <c r="C61" s="407"/>
    </row>
    <row r="62" spans="2:14" ht="11.25">
      <c r="B62" s="439" t="s">
        <v>346</v>
      </c>
      <c r="C62" s="440"/>
      <c r="K62" s="593" t="s">
        <v>351</v>
      </c>
      <c r="L62" s="606"/>
      <c r="M62" s="606"/>
      <c r="N62" s="594"/>
    </row>
    <row r="63" spans="2:14" ht="11.25">
      <c r="B63" s="441">
        <v>42473</v>
      </c>
      <c r="C63" s="442">
        <v>-358379.45</v>
      </c>
      <c r="K63" s="446" t="s">
        <v>323</v>
      </c>
      <c r="L63" s="448" t="s">
        <v>342</v>
      </c>
      <c r="M63" s="448" t="s">
        <v>343</v>
      </c>
      <c r="N63" s="449" t="s">
        <v>344</v>
      </c>
    </row>
    <row r="64" spans="2:15" ht="11.25">
      <c r="B64" s="444">
        <v>42536</v>
      </c>
      <c r="C64" s="445">
        <v>12338.58</v>
      </c>
      <c r="K64" s="450" t="s">
        <v>333</v>
      </c>
      <c r="L64" s="296">
        <v>338312.81</v>
      </c>
      <c r="M64" s="313"/>
      <c r="N64" s="453"/>
      <c r="O64" s="467">
        <v>338312.81</v>
      </c>
    </row>
    <row r="65" spans="2:15" ht="11.25">
      <c r="B65" s="444">
        <v>42538</v>
      </c>
      <c r="C65" s="445">
        <v>40202.66</v>
      </c>
      <c r="K65" s="468" t="s">
        <v>340</v>
      </c>
      <c r="L65" s="315">
        <v>342290.12</v>
      </c>
      <c r="M65" s="300"/>
      <c r="N65" s="438"/>
      <c r="O65" s="467">
        <v>342290.12</v>
      </c>
    </row>
    <row r="66" spans="2:15" ht="11.25">
      <c r="B66" s="444">
        <v>42573</v>
      </c>
      <c r="C66" s="445">
        <v>-188924.26</v>
      </c>
      <c r="K66" s="443" t="s">
        <v>345</v>
      </c>
      <c r="L66" s="469"/>
      <c r="M66" s="469"/>
      <c r="N66" s="462">
        <v>680602.9299999999</v>
      </c>
      <c r="O66" s="467">
        <v>680602.9299999999</v>
      </c>
    </row>
    <row r="67" spans="2:11" ht="11.25">
      <c r="B67" s="444">
        <v>42604</v>
      </c>
      <c r="C67" s="445">
        <v>-264484.83</v>
      </c>
      <c r="I67" s="470"/>
      <c r="J67" s="470"/>
      <c r="K67" s="20"/>
    </row>
    <row r="68" spans="2:11" ht="11.25">
      <c r="B68" s="444">
        <v>42605</v>
      </c>
      <c r="C68" s="445">
        <v>-270935.31</v>
      </c>
      <c r="I68" s="473"/>
      <c r="J68" s="472"/>
      <c r="K68" s="474"/>
    </row>
    <row r="69" spans="2:11" ht="11.25">
      <c r="B69" s="444">
        <v>42628</v>
      </c>
      <c r="C69" s="445">
        <v>-279114.98</v>
      </c>
      <c r="I69" s="473"/>
      <c r="J69" s="472"/>
      <c r="K69" s="474"/>
    </row>
    <row r="70" spans="2:11" ht="11.25">
      <c r="B70" s="444">
        <v>42644</v>
      </c>
      <c r="C70" s="445">
        <v>-291791.79</v>
      </c>
      <c r="I70" s="473"/>
      <c r="J70" s="472"/>
      <c r="K70" s="474"/>
    </row>
    <row r="71" spans="2:11" ht="11.25">
      <c r="B71" s="444">
        <v>42682</v>
      </c>
      <c r="C71" s="445">
        <v>-305376.75</v>
      </c>
      <c r="I71" s="472"/>
      <c r="J71" s="472"/>
      <c r="K71" s="474"/>
    </row>
    <row r="72" spans="2:11" ht="11.25">
      <c r="B72" s="444">
        <v>42705</v>
      </c>
      <c r="C72" s="445">
        <v>-318240.98</v>
      </c>
      <c r="I72" s="20"/>
      <c r="J72" s="20"/>
      <c r="K72" s="20"/>
    </row>
    <row r="73" spans="2:3" ht="11.25">
      <c r="B73" s="444">
        <v>42371</v>
      </c>
      <c r="C73" s="445">
        <v>-331996.49</v>
      </c>
    </row>
    <row r="74" spans="2:3" ht="11.25">
      <c r="B74" s="444">
        <v>42709</v>
      </c>
      <c r="C74" s="445">
        <v>-87183.97</v>
      </c>
    </row>
    <row r="75" spans="2:3" ht="11.25">
      <c r="B75" s="444">
        <v>42723</v>
      </c>
      <c r="C75" s="445">
        <v>-59059.75</v>
      </c>
    </row>
    <row r="76" spans="2:3" ht="11.25">
      <c r="B76" s="444">
        <v>42738</v>
      </c>
      <c r="C76" s="445">
        <v>-54903.68</v>
      </c>
    </row>
    <row r="77" spans="2:3" ht="11.25">
      <c r="B77" s="444"/>
      <c r="C77" s="445"/>
    </row>
    <row r="78" spans="2:3" ht="11.25">
      <c r="B78" s="456"/>
      <c r="C78" s="316"/>
    </row>
    <row r="81" spans="2:3" ht="11.25">
      <c r="B81" s="439" t="s">
        <v>350</v>
      </c>
      <c r="C81" s="440"/>
    </row>
    <row r="82" spans="2:3" ht="11.25">
      <c r="B82" s="441"/>
      <c r="C82" s="442">
        <v>-533900.57</v>
      </c>
    </row>
    <row r="83" spans="2:3" ht="11.25">
      <c r="B83" s="444">
        <v>42182</v>
      </c>
      <c r="C83" s="445">
        <v>-298056.34</v>
      </c>
    </row>
    <row r="84" spans="2:3" ht="11.25">
      <c r="B84" s="444">
        <v>42191</v>
      </c>
      <c r="C84" s="445">
        <v>-318170.94</v>
      </c>
    </row>
    <row r="85" spans="2:3" ht="11.25">
      <c r="B85" s="444">
        <v>42200</v>
      </c>
      <c r="C85" s="445">
        <v>-318170.94</v>
      </c>
    </row>
    <row r="86" spans="2:3" ht="11.25">
      <c r="B86" s="444">
        <v>42202</v>
      </c>
      <c r="C86" s="445">
        <v>-252170.84</v>
      </c>
    </row>
    <row r="87" spans="2:3" ht="11.25">
      <c r="B87" s="444">
        <v>42222</v>
      </c>
      <c r="C87" s="445">
        <v>4187.43</v>
      </c>
    </row>
    <row r="88" spans="2:3" ht="11.25">
      <c r="B88" s="444">
        <v>42258</v>
      </c>
      <c r="C88" s="445">
        <v>-80332.61</v>
      </c>
    </row>
    <row r="89" spans="2:3" ht="11.25">
      <c r="B89" s="444">
        <v>42282</v>
      </c>
      <c r="C89" s="445">
        <v>-150633.25</v>
      </c>
    </row>
    <row r="90" spans="2:3" ht="11.25">
      <c r="B90" s="444">
        <v>42282</v>
      </c>
      <c r="C90" s="445">
        <v>149318.95</v>
      </c>
    </row>
    <row r="91" spans="2:3" ht="11.25">
      <c r="B91" s="444" t="s">
        <v>352</v>
      </c>
      <c r="C91" s="445">
        <v>137512.29</v>
      </c>
    </row>
    <row r="92" spans="2:3" ht="11.25">
      <c r="B92" s="444">
        <v>42293</v>
      </c>
      <c r="C92" s="445">
        <v>153618.58</v>
      </c>
    </row>
    <row r="93" spans="2:3" ht="11.25">
      <c r="B93" s="444">
        <v>42293</v>
      </c>
      <c r="C93" s="445">
        <v>150285.25</v>
      </c>
    </row>
    <row r="94" spans="2:3" ht="11.25">
      <c r="B94" s="444">
        <v>42306</v>
      </c>
      <c r="C94" s="445">
        <v>68511.45</v>
      </c>
    </row>
    <row r="95" spans="2:3" ht="11.25">
      <c r="B95" s="444">
        <v>42307</v>
      </c>
      <c r="C95" s="445">
        <v>51511.45</v>
      </c>
    </row>
    <row r="96" spans="2:3" ht="11.25">
      <c r="B96" s="444">
        <v>42325</v>
      </c>
      <c r="C96" s="445">
        <v>38810.42</v>
      </c>
    </row>
    <row r="97" spans="2:3" ht="11.25">
      <c r="B97" s="444">
        <v>42335</v>
      </c>
      <c r="C97" s="445">
        <v>36685.6</v>
      </c>
    </row>
    <row r="98" spans="2:3" ht="11.25">
      <c r="B98" s="444">
        <v>42342</v>
      </c>
      <c r="C98" s="445">
        <v>-20943.17</v>
      </c>
    </row>
    <row r="99" spans="2:3" ht="11.25">
      <c r="B99" s="444">
        <v>42342</v>
      </c>
      <c r="C99" s="445">
        <v>23408.12</v>
      </c>
    </row>
    <row r="100" spans="2:3" ht="11.25">
      <c r="B100" s="444">
        <v>42359</v>
      </c>
      <c r="C100" s="445">
        <v>-89196.15</v>
      </c>
    </row>
    <row r="101" spans="2:3" ht="11.25">
      <c r="B101" s="444">
        <v>42359</v>
      </c>
      <c r="C101" s="445">
        <v>-74957.65</v>
      </c>
    </row>
    <row r="102" spans="2:3" ht="11.25">
      <c r="B102" s="444">
        <v>42360</v>
      </c>
      <c r="C102" s="445">
        <v>-76957.65</v>
      </c>
    </row>
    <row r="103" spans="2:3" ht="11.25">
      <c r="B103" s="444">
        <v>42374</v>
      </c>
      <c r="C103" s="445">
        <v>36042.35</v>
      </c>
    </row>
    <row r="104" spans="2:3" ht="11.25">
      <c r="B104" s="444"/>
      <c r="C104" s="445"/>
    </row>
    <row r="105" spans="2:3" ht="11.25">
      <c r="B105" s="444"/>
      <c r="C105" s="445"/>
    </row>
    <row r="106" spans="2:3" ht="11.25">
      <c r="B106" s="456"/>
      <c r="C106" s="316"/>
    </row>
  </sheetData>
  <sheetProtection/>
  <mergeCells count="11">
    <mergeCell ref="S17:U17"/>
    <mergeCell ref="V17:X17"/>
    <mergeCell ref="Y17:AA17"/>
    <mergeCell ref="K36:N36"/>
    <mergeCell ref="K43:N43"/>
    <mergeCell ref="K49:N49"/>
    <mergeCell ref="K55:N55"/>
    <mergeCell ref="K62:N62"/>
    <mergeCell ref="L17:N17"/>
    <mergeCell ref="B3:K4"/>
    <mergeCell ref="P17:R17"/>
  </mergeCells>
  <conditionalFormatting sqref="C82:C105 L12 C63:C77 C49:C59 C37:C44 F17:F28">
    <cfRule type="cellIs" priority="3" dxfId="0" operator="lessThan" stopIfTrue="1">
      <formula>0</formula>
    </cfRule>
    <cfRule type="cellIs" priority="4" dxfId="2" operator="greaterThan" stopIfTrue="1">
      <formula>0</formula>
    </cfRule>
  </conditionalFormatting>
  <conditionalFormatting sqref="C18:C29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I45"/>
  <sheetViews>
    <sheetView zoomScalePageLayoutView="0" workbookViewId="0" topLeftCell="A13">
      <selection activeCell="F30" sqref="F30"/>
    </sheetView>
  </sheetViews>
  <sheetFormatPr defaultColWidth="11.421875" defaultRowHeight="12.75"/>
  <cols>
    <col min="1" max="1" width="11.421875" style="1" customWidth="1"/>
    <col min="2" max="2" width="5.8515625" style="1" customWidth="1"/>
    <col min="3" max="3" width="7.8515625" style="1" customWidth="1"/>
    <col min="4" max="4" width="33.8515625" style="1" customWidth="1"/>
    <col min="5" max="5" width="17.28125" style="1" hidden="1" customWidth="1"/>
    <col min="6" max="6" width="27.421875" style="1" customWidth="1"/>
    <col min="7" max="7" width="11.421875" style="1" customWidth="1"/>
    <col min="8" max="8" width="11.8515625" style="1" bestFit="1" customWidth="1"/>
    <col min="9" max="9" width="18.8515625" style="1" customWidth="1"/>
    <col min="10" max="16384" width="11.421875" style="1" customWidth="1"/>
  </cols>
  <sheetData>
    <row r="1" ht="12.75" customHeight="1" thickBot="1"/>
    <row r="2" spans="3:6" ht="13.5" thickBot="1">
      <c r="C2" s="607" t="s">
        <v>90</v>
      </c>
      <c r="D2" s="608"/>
      <c r="E2" s="608"/>
      <c r="F2" s="609"/>
    </row>
    <row r="3" spans="3:6" ht="24.75" customHeight="1" thickBot="1">
      <c r="C3" s="610" t="s">
        <v>52</v>
      </c>
      <c r="D3" s="611"/>
      <c r="E3" s="324"/>
      <c r="F3" s="371" t="s">
        <v>225</v>
      </c>
    </row>
    <row r="4" spans="3:9" ht="20.25" customHeight="1" thickBot="1">
      <c r="C4" s="612"/>
      <c r="D4" s="613"/>
      <c r="E4" s="370"/>
      <c r="F4" s="372" t="s">
        <v>220</v>
      </c>
      <c r="G4" s="387" t="s">
        <v>110</v>
      </c>
      <c r="H4" s="388" t="s">
        <v>109</v>
      </c>
      <c r="I4" s="389" t="s">
        <v>226</v>
      </c>
    </row>
    <row r="5" spans="3:9" ht="15.75" customHeight="1">
      <c r="C5" s="11" t="s">
        <v>24</v>
      </c>
      <c r="D5" s="16" t="s">
        <v>25</v>
      </c>
      <c r="E5" s="138">
        <f>'[5]capi 1'!L7</f>
        <v>0</v>
      </c>
      <c r="F5" s="138">
        <f>'ESTABILIDAD PRESUPUESTARIA 2020'!G16</f>
        <v>3023707.7</v>
      </c>
      <c r="G5" s="377">
        <f>AJUSTES!G21</f>
        <v>0.9942666666666667</v>
      </c>
      <c r="H5" s="383">
        <f>AJUSTES!H21</f>
        <v>-0.005733333333333257</v>
      </c>
      <c r="I5" s="378">
        <f>F5*H5</f>
        <v>-17335.924146666435</v>
      </c>
    </row>
    <row r="6" spans="3:9" ht="12.75">
      <c r="C6" s="6" t="s">
        <v>24</v>
      </c>
      <c r="D6" s="15" t="s">
        <v>26</v>
      </c>
      <c r="E6" s="139">
        <v>3152556.73</v>
      </c>
      <c r="F6" s="139">
        <f>'ESTABILIDAD PRESUPUESTARIA 2020'!G17</f>
        <v>2848061.34</v>
      </c>
      <c r="G6" s="379">
        <f>AJUSTES!G22</f>
        <v>0.8458</v>
      </c>
      <c r="H6" s="384">
        <f>AJUSTES!H22</f>
        <v>-0.1542</v>
      </c>
      <c r="I6" s="380">
        <f>F6*H6</f>
        <v>-439171.05862799997</v>
      </c>
    </row>
    <row r="7" spans="3:9" ht="12.75">
      <c r="C7" s="6" t="s">
        <v>24</v>
      </c>
      <c r="D7" s="15" t="s">
        <v>28</v>
      </c>
      <c r="E7" s="139" t="e">
        <f>#REF!</f>
        <v>#REF!</v>
      </c>
      <c r="F7" s="139">
        <f>'ESTABILIDAD PRESUPUESTARIA 2020'!G18</f>
        <v>0</v>
      </c>
      <c r="G7" s="379">
        <f>AJUSTES!G23</f>
        <v>0.4782</v>
      </c>
      <c r="H7" s="384">
        <f>AJUSTES!H23</f>
        <v>-0.5218</v>
      </c>
      <c r="I7" s="380">
        <f>F7*H7</f>
        <v>0</v>
      </c>
    </row>
    <row r="8" spans="3:9" ht="12.75">
      <c r="C8" s="6" t="s">
        <v>27</v>
      </c>
      <c r="D8" s="15" t="s">
        <v>29</v>
      </c>
      <c r="E8" s="139" t="e">
        <f>-E7</f>
        <v>#REF!</v>
      </c>
      <c r="F8" s="139">
        <f>-F7</f>
        <v>0</v>
      </c>
      <c r="G8" s="235"/>
      <c r="H8" s="385"/>
      <c r="I8" s="380">
        <f>F8*H8</f>
        <v>0</v>
      </c>
    </row>
    <row r="9" spans="3:9" ht="12.75">
      <c r="C9" s="6" t="s">
        <v>24</v>
      </c>
      <c r="D9" s="15" t="s">
        <v>30</v>
      </c>
      <c r="E9" s="139">
        <f>'[5]capi 4'!H10</f>
        <v>0</v>
      </c>
      <c r="F9" s="139">
        <f>'ESTABILIDAD PRESUPUESTARIA 2020'!G19</f>
        <v>429932.41</v>
      </c>
      <c r="G9" s="381">
        <f>AJUSTES!G24</f>
        <v>0.9655</v>
      </c>
      <c r="H9" s="386">
        <f>AJUSTES!H24</f>
        <v>-0.034499999999999975</v>
      </c>
      <c r="I9" s="382">
        <f>F9*H9</f>
        <v>-14832.668144999989</v>
      </c>
    </row>
    <row r="10" spans="3:6" ht="12.75">
      <c r="C10" s="6" t="s">
        <v>24</v>
      </c>
      <c r="D10" s="15" t="s">
        <v>67</v>
      </c>
      <c r="E10" s="139"/>
      <c r="F10" s="139">
        <f>'[6]RESUMEN GASTOS'!H47</f>
        <v>0</v>
      </c>
    </row>
    <row r="11" spans="3:7" ht="12.75">
      <c r="C11" s="6" t="s">
        <v>24</v>
      </c>
      <c r="D11" s="15" t="s">
        <v>31</v>
      </c>
      <c r="E11" s="139">
        <f>'[5]capi 6'!J15</f>
        <v>0</v>
      </c>
      <c r="F11" s="139">
        <f>'ESTABILIDAD PRESUPUESTARIA 2020'!G22</f>
        <v>783590.74</v>
      </c>
      <c r="G11" s="1">
        <v>100</v>
      </c>
    </row>
    <row r="12" spans="3:6" ht="13.5" thickBot="1">
      <c r="C12" s="12" t="s">
        <v>24</v>
      </c>
      <c r="D12" s="17" t="s">
        <v>33</v>
      </c>
      <c r="E12" s="140" t="e">
        <f>'[3]ESTABILIDAD PPTARIA 2016'!O22</f>
        <v>#REF!</v>
      </c>
      <c r="F12" s="139">
        <f>'ESTABILIDAD PRESUPUESTARIA 2020'!G23</f>
        <v>0</v>
      </c>
    </row>
    <row r="13" spans="3:6" ht="13.5" thickBot="1">
      <c r="C13" s="627" t="s">
        <v>62</v>
      </c>
      <c r="D13" s="628"/>
      <c r="E13" s="141" t="e">
        <f>SUM(E5:E12)</f>
        <v>#REF!</v>
      </c>
      <c r="F13" s="141">
        <f>SUM(F5:F12)</f>
        <v>7085292.19</v>
      </c>
    </row>
    <row r="14" spans="3:6" ht="12.75">
      <c r="C14" s="11" t="s">
        <v>27</v>
      </c>
      <c r="D14" s="16" t="s">
        <v>91</v>
      </c>
      <c r="E14" s="9">
        <v>0</v>
      </c>
      <c r="F14" s="138">
        <v>0</v>
      </c>
    </row>
    <row r="15" spans="3:6" ht="12.75">
      <c r="C15" s="6" t="s">
        <v>27</v>
      </c>
      <c r="D15" s="15" t="s">
        <v>133</v>
      </c>
      <c r="E15" s="266" t="e">
        <f>#REF!</f>
        <v>#REF!</v>
      </c>
      <c r="F15" s="233">
        <f>'gasto computable'!G22</f>
        <v>533883.15</v>
      </c>
    </row>
    <row r="16" spans="3:6" ht="12.75">
      <c r="C16" s="6" t="s">
        <v>27</v>
      </c>
      <c r="D16" s="15" t="s">
        <v>92</v>
      </c>
      <c r="E16" s="8" t="e">
        <f>#REF!</f>
        <v>#REF!</v>
      </c>
      <c r="F16" s="139">
        <v>0</v>
      </c>
    </row>
    <row r="17" spans="3:6" ht="12.75">
      <c r="C17" s="6" t="s">
        <v>27</v>
      </c>
      <c r="D17" s="15" t="s">
        <v>32</v>
      </c>
      <c r="E17" s="8">
        <v>0</v>
      </c>
      <c r="F17" s="139">
        <v>0</v>
      </c>
    </row>
    <row r="18" spans="3:6" ht="12.75">
      <c r="C18" s="6" t="s">
        <v>27</v>
      </c>
      <c r="D18" s="15" t="s">
        <v>34</v>
      </c>
      <c r="E18" s="8">
        <f>-SUM('[5]GASTO COMPUTABLE'!P36:P62)</f>
        <v>0</v>
      </c>
      <c r="F18" s="139">
        <f>'gasto computable'!G30</f>
        <v>-302894.18</v>
      </c>
    </row>
    <row r="19" spans="3:6" ht="13.5" thickBot="1">
      <c r="C19" s="6" t="s">
        <v>27</v>
      </c>
      <c r="D19" s="15" t="s">
        <v>147</v>
      </c>
      <c r="E19" s="10">
        <f>-'[5]GASTO COMPUTABLE'!P63</f>
        <v>0</v>
      </c>
      <c r="F19" s="140"/>
    </row>
    <row r="20" spans="3:6" ht="13.5" thickBot="1">
      <c r="C20" s="629" t="s">
        <v>55</v>
      </c>
      <c r="D20" s="630"/>
      <c r="E20" s="234" t="e">
        <f>SUM(E13:E19)</f>
        <v>#REF!</v>
      </c>
      <c r="F20" s="234">
        <f>SUM(F13:F19)</f>
        <v>7316281.160000001</v>
      </c>
    </row>
    <row r="21" spans="3:6" ht="13.5" thickBot="1">
      <c r="C21" s="631" t="s">
        <v>93</v>
      </c>
      <c r="D21" s="632"/>
      <c r="E21" s="142"/>
      <c r="F21" s="144"/>
    </row>
    <row r="22" spans="3:6" ht="13.5" customHeight="1" thickBot="1">
      <c r="C22" s="106" t="s">
        <v>27</v>
      </c>
      <c r="D22" s="107" t="s">
        <v>94</v>
      </c>
      <c r="E22" s="143">
        <f>'[5]GASTO COMPUTABLE'!P66</f>
        <v>0</v>
      </c>
      <c r="F22" s="143">
        <f>'gasto computable'!G66</f>
        <v>0</v>
      </c>
    </row>
    <row r="23" spans="3:6" ht="13.5" thickBot="1">
      <c r="C23" s="633" t="s">
        <v>95</v>
      </c>
      <c r="D23" s="634"/>
      <c r="E23" s="144" t="e">
        <f>E20+E22</f>
        <v>#REF!</v>
      </c>
      <c r="F23" s="144">
        <f>F20+F22</f>
        <v>7316281.160000001</v>
      </c>
    </row>
    <row r="24" spans="3:6" ht="13.5" customHeight="1" thickBot="1">
      <c r="C24" s="6" t="s">
        <v>27</v>
      </c>
      <c r="D24" s="15" t="s">
        <v>35</v>
      </c>
      <c r="E24" s="143"/>
      <c r="F24" s="143"/>
    </row>
    <row r="25" spans="3:6" ht="27" customHeight="1" thickBot="1">
      <c r="C25" s="635" t="s">
        <v>96</v>
      </c>
      <c r="D25" s="636"/>
      <c r="E25" s="144" t="e">
        <f>E23+E24</f>
        <v>#REF!</v>
      </c>
      <c r="F25" s="144">
        <f>F23+F24</f>
        <v>7316281.160000001</v>
      </c>
    </row>
    <row r="26" spans="3:6" ht="27.75" customHeight="1" thickBot="1">
      <c r="C26" s="635" t="s">
        <v>97</v>
      </c>
      <c r="D26" s="637"/>
      <c r="E26" s="145" t="e">
        <f>E25</f>
        <v>#REF!</v>
      </c>
      <c r="F26" s="145">
        <f>F25</f>
        <v>7316281.160000001</v>
      </c>
    </row>
    <row r="27" ht="13.5" customHeight="1" thickBot="1"/>
    <row r="28" spans="3:6" ht="13.5" thickBot="1">
      <c r="C28" s="638" t="s">
        <v>65</v>
      </c>
      <c r="D28" s="639"/>
      <c r="E28" s="323"/>
      <c r="F28" s="323"/>
    </row>
    <row r="29" spans="3:6" ht="13.5" customHeight="1" thickBot="1">
      <c r="C29" s="640"/>
      <c r="D29" s="641"/>
      <c r="E29" s="108" t="s">
        <v>66</v>
      </c>
      <c r="F29" s="108" t="s">
        <v>66</v>
      </c>
    </row>
    <row r="30" spans="3:6" ht="12.75">
      <c r="C30" s="614" t="s">
        <v>63</v>
      </c>
      <c r="D30" s="620"/>
      <c r="E30" s="138" t="e">
        <f>#REF!</f>
        <v>#REF!</v>
      </c>
      <c r="F30" s="138">
        <v>10520631</v>
      </c>
    </row>
    <row r="31" spans="3:6" ht="12.75" customHeight="1" thickBot="1">
      <c r="C31" s="621" t="s">
        <v>98</v>
      </c>
      <c r="D31" s="622"/>
      <c r="E31" s="140" t="e">
        <f>E30</f>
        <v>#REF!</v>
      </c>
      <c r="F31" s="140">
        <v>10234076.85</v>
      </c>
    </row>
    <row r="32" spans="3:6" ht="13.5" customHeight="1">
      <c r="C32" s="623" t="s">
        <v>54</v>
      </c>
      <c r="D32" s="624"/>
      <c r="E32" s="146" t="e">
        <f>#REF!</f>
        <v>#REF!</v>
      </c>
      <c r="F32" s="146">
        <v>0.028</v>
      </c>
    </row>
    <row r="33" spans="3:6" ht="12.75" customHeight="1">
      <c r="C33" s="623" t="s">
        <v>36</v>
      </c>
      <c r="D33" s="624"/>
      <c r="E33" s="373" t="e">
        <f>E31*E32</f>
        <v>#REF!</v>
      </c>
      <c r="F33" s="373">
        <f>F31*F32</f>
        <v>286554.1518</v>
      </c>
    </row>
    <row r="34" spans="3:6" ht="12.75" customHeight="1" thickBot="1">
      <c r="C34" s="621" t="s">
        <v>99</v>
      </c>
      <c r="D34" s="642"/>
      <c r="E34" s="374" t="e">
        <f>E30+E33</f>
        <v>#REF!</v>
      </c>
      <c r="F34" s="374">
        <f>F33+F31</f>
        <v>10520631.001799999</v>
      </c>
    </row>
    <row r="35" spans="3:6" ht="30" customHeight="1" thickBot="1">
      <c r="C35" s="106" t="s">
        <v>100</v>
      </c>
      <c r="D35" s="267" t="s">
        <v>101</v>
      </c>
      <c r="E35" s="143" t="e">
        <f>E37-E36</f>
        <v>#REF!</v>
      </c>
      <c r="F35" s="143">
        <v>0</v>
      </c>
    </row>
    <row r="36" spans="3:6" ht="27" customHeight="1" thickBot="1">
      <c r="C36" s="106"/>
      <c r="D36" s="268" t="s">
        <v>221</v>
      </c>
      <c r="E36" s="269" t="e">
        <f>#REF!</f>
        <v>#REF!</v>
      </c>
      <c r="F36" s="269">
        <v>0</v>
      </c>
    </row>
    <row r="37" spans="3:6" ht="14.25" customHeight="1" thickBot="1">
      <c r="C37" s="106"/>
      <c r="D37" s="268" t="s">
        <v>222</v>
      </c>
      <c r="E37" s="269" t="e">
        <f>#REF!</f>
        <v>#REF!</v>
      </c>
      <c r="F37" s="269">
        <v>0</v>
      </c>
    </row>
    <row r="38" spans="3:6" ht="10.5" customHeight="1" thickBot="1">
      <c r="C38" s="625" t="s">
        <v>102</v>
      </c>
      <c r="D38" s="626"/>
      <c r="E38" s="270" t="e">
        <f>E34+E35</f>
        <v>#REF!</v>
      </c>
      <c r="F38" s="270">
        <f>F34+F35</f>
        <v>10520631.001799999</v>
      </c>
    </row>
    <row r="39" spans="3:6" ht="13.5" customHeight="1" thickBot="1">
      <c r="C39" s="625" t="s">
        <v>223</v>
      </c>
      <c r="D39" s="626"/>
      <c r="E39" s="375"/>
      <c r="F39" s="375">
        <f>F34</f>
        <v>10520631.001799999</v>
      </c>
    </row>
    <row r="40" spans="3:6" ht="13.5" customHeight="1" thickBot="1">
      <c r="C40" s="614" t="s">
        <v>64</v>
      </c>
      <c r="D40" s="615"/>
      <c r="E40" s="138" t="e">
        <f>E26</f>
        <v>#REF!</v>
      </c>
      <c r="F40" s="138">
        <f>F26</f>
        <v>7316281.160000001</v>
      </c>
    </row>
    <row r="41" spans="3:6" ht="13.5" customHeight="1" thickBot="1">
      <c r="C41" s="616" t="s">
        <v>37</v>
      </c>
      <c r="D41" s="617"/>
      <c r="E41" s="376" t="e">
        <f>E40-E38</f>
        <v>#REF!</v>
      </c>
      <c r="F41" s="376">
        <f>F40-F38</f>
        <v>-3204349.8417999977</v>
      </c>
    </row>
    <row r="42" spans="3:6" ht="13.5" thickBot="1">
      <c r="C42" s="126"/>
      <c r="D42" s="127"/>
      <c r="E42" s="147" t="e">
        <f>E41/E38</f>
        <v>#REF!</v>
      </c>
      <c r="F42" s="147">
        <f>F41/F38</f>
        <v>-0.30457772364145824</v>
      </c>
    </row>
    <row r="43" spans="3:9" ht="36" customHeight="1" thickBot="1">
      <c r="C43" s="618" t="s">
        <v>224</v>
      </c>
      <c r="D43" s="619"/>
      <c r="E43" s="271" t="e">
        <f>E40-E38</f>
        <v>#REF!</v>
      </c>
      <c r="F43" s="271">
        <f>F40-F38</f>
        <v>-3204349.8417999977</v>
      </c>
      <c r="H43" s="390"/>
      <c r="I43" s="391"/>
    </row>
    <row r="44" spans="3:6" ht="34.5" customHeight="1" thickBot="1">
      <c r="C44" s="616" t="s">
        <v>155</v>
      </c>
      <c r="D44" s="617"/>
      <c r="E44" s="272" t="e">
        <f>E40+(E40*E45)</f>
        <v>#REF!</v>
      </c>
      <c r="F44" s="272">
        <f>F40+(F40*F45)</f>
        <v>7521137.032480001</v>
      </c>
    </row>
    <row r="45" spans="5:6" ht="12.75">
      <c r="E45" s="273">
        <v>0.027</v>
      </c>
      <c r="F45" s="273">
        <v>0.028</v>
      </c>
    </row>
  </sheetData>
  <sheetProtection/>
  <mergeCells count="20">
    <mergeCell ref="C39:D39"/>
    <mergeCell ref="C13:D13"/>
    <mergeCell ref="C20:D20"/>
    <mergeCell ref="C21:D21"/>
    <mergeCell ref="C23:D23"/>
    <mergeCell ref="C25:D25"/>
    <mergeCell ref="C26:D26"/>
    <mergeCell ref="C28:D29"/>
    <mergeCell ref="C34:D34"/>
    <mergeCell ref="C38:D38"/>
    <mergeCell ref="C2:F2"/>
    <mergeCell ref="C3:D4"/>
    <mergeCell ref="C40:D40"/>
    <mergeCell ref="C41:D41"/>
    <mergeCell ref="C43:D43"/>
    <mergeCell ref="C44:D44"/>
    <mergeCell ref="C30:D30"/>
    <mergeCell ref="C31:D31"/>
    <mergeCell ref="C32:D32"/>
    <mergeCell ref="C33:D33"/>
  </mergeCells>
  <conditionalFormatting sqref="E41:F43">
    <cfRule type="cellIs" priority="21" dxfId="2" operator="lessThan" stopIfTrue="1">
      <formula>0</formula>
    </cfRule>
    <cfRule type="cellIs" priority="22" dxfId="0" operator="greaterThan" stopIfTrue="1">
      <formula>0</formula>
    </cfRule>
  </conditionalFormatting>
  <conditionalFormatting sqref="E42:F43">
    <cfRule type="cellIs" priority="15" dxfId="0" operator="greaterThan" stopIfTrue="1">
      <formula>0.013</formula>
    </cfRule>
    <cfRule type="cellIs" priority="16" dxfId="0" operator="greaterThan" stopIfTrue="1">
      <formula>"1.3"</formula>
    </cfRule>
    <cfRule type="cellIs" priority="17" dxfId="2" operator="lessThan" stopIfTrue="1">
      <formula>"1.3"</formula>
    </cfRule>
    <cfRule type="cellIs" priority="18" dxfId="0" operator="greaterThan" stopIfTrue="1">
      <formula>"1.30"</formula>
    </cfRule>
  </conditionalFormatting>
  <conditionalFormatting sqref="E42:F43">
    <cfRule type="cellIs" priority="11" dxfId="2" operator="lessThan" stopIfTrue="1">
      <formula>0.018</formula>
    </cfRule>
    <cfRule type="cellIs" priority="12" dxfId="0" operator="greaterThan" stopIfTrue="1">
      <formula>0.018</formula>
    </cfRule>
    <cfRule type="cellIs" priority="13" dxfId="0" operator="greaterThan" stopIfTrue="1">
      <formula>0.01</formula>
    </cfRule>
    <cfRule type="cellIs" priority="14" dxfId="0" operator="lessThan" stopIfTrue="1">
      <formula>0.018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E2:I16"/>
  <sheetViews>
    <sheetView zoomScalePageLayoutView="0" workbookViewId="0" topLeftCell="A1">
      <selection activeCell="N34" sqref="N34"/>
    </sheetView>
  </sheetViews>
  <sheetFormatPr defaultColWidth="11.421875" defaultRowHeight="12.75"/>
  <cols>
    <col min="1" max="16384" width="11.421875" style="2" customWidth="1"/>
  </cols>
  <sheetData>
    <row r="2" spans="5:9" ht="11.25">
      <c r="E2" s="643" t="s">
        <v>146</v>
      </c>
      <c r="F2" s="643"/>
      <c r="G2" s="643"/>
      <c r="H2" s="643"/>
      <c r="I2" s="643"/>
    </row>
    <row r="3" spans="5:9" ht="11.25">
      <c r="E3" s="4"/>
      <c r="F3" s="4"/>
      <c r="G3" s="4"/>
      <c r="H3" s="4"/>
      <c r="I3" s="4"/>
    </row>
    <row r="4" spans="5:9" ht="11.25">
      <c r="E4" s="643" t="s">
        <v>143</v>
      </c>
      <c r="F4" s="643"/>
      <c r="G4" s="643"/>
      <c r="H4" s="643"/>
      <c r="I4" s="643"/>
    </row>
    <row r="5" spans="5:9" ht="11.25">
      <c r="E5" s="239"/>
      <c r="F5" s="236">
        <v>2017</v>
      </c>
      <c r="G5" s="236">
        <v>2018</v>
      </c>
      <c r="H5" s="236">
        <v>2019</v>
      </c>
      <c r="I5" s="236">
        <v>2020</v>
      </c>
    </row>
    <row r="6" spans="5:9" ht="22.5">
      <c r="E6" s="236" t="s">
        <v>142</v>
      </c>
      <c r="F6" s="237">
        <v>0</v>
      </c>
      <c r="G6" s="237">
        <v>0</v>
      </c>
      <c r="H6" s="237">
        <v>0</v>
      </c>
      <c r="I6" s="237">
        <v>0</v>
      </c>
    </row>
    <row r="7" spans="5:9" ht="11.25">
      <c r="E7" s="4"/>
      <c r="F7" s="4"/>
      <c r="G7" s="4"/>
      <c r="H7" s="4"/>
      <c r="I7" s="4"/>
    </row>
    <row r="8" spans="5:9" ht="11.25">
      <c r="E8" s="4"/>
      <c r="F8" s="4"/>
      <c r="G8" s="4"/>
      <c r="H8" s="4"/>
      <c r="I8" s="4"/>
    </row>
    <row r="9" spans="5:9" ht="11.25">
      <c r="E9" s="643" t="s">
        <v>144</v>
      </c>
      <c r="F9" s="643"/>
      <c r="G9" s="643"/>
      <c r="H9" s="643"/>
      <c r="I9" s="643"/>
    </row>
    <row r="10" spans="5:9" ht="11.25">
      <c r="E10" s="239"/>
      <c r="F10" s="236">
        <v>2017</v>
      </c>
      <c r="G10" s="236">
        <v>2018</v>
      </c>
      <c r="H10" s="236">
        <v>2019</v>
      </c>
      <c r="I10" s="236">
        <v>2020</v>
      </c>
    </row>
    <row r="11" spans="5:9" ht="22.5">
      <c r="E11" s="236" t="s">
        <v>142</v>
      </c>
      <c r="F11" s="238">
        <v>0</v>
      </c>
      <c r="G11" s="238">
        <v>0.027</v>
      </c>
      <c r="H11" s="238">
        <v>0.026</v>
      </c>
      <c r="I11" s="238">
        <v>0.025</v>
      </c>
    </row>
    <row r="12" spans="5:9" ht="11.25">
      <c r="E12" s="4"/>
      <c r="F12" s="4"/>
      <c r="G12" s="4"/>
      <c r="H12" s="4"/>
      <c r="I12" s="4"/>
    </row>
    <row r="13" spans="5:9" ht="11.25">
      <c r="E13" s="4"/>
      <c r="F13" s="4"/>
      <c r="G13" s="4"/>
      <c r="H13" s="4"/>
      <c r="I13" s="4"/>
    </row>
    <row r="14" spans="5:9" ht="11.25">
      <c r="E14" s="643" t="s">
        <v>145</v>
      </c>
      <c r="F14" s="643"/>
      <c r="G14" s="643"/>
      <c r="H14" s="643"/>
      <c r="I14" s="643"/>
    </row>
    <row r="15" spans="5:9" ht="11.25">
      <c r="E15" s="239"/>
      <c r="F15" s="236">
        <v>2017</v>
      </c>
      <c r="G15" s="236">
        <v>2018</v>
      </c>
      <c r="H15" s="236">
        <v>2019</v>
      </c>
      <c r="I15" s="236">
        <v>2020</v>
      </c>
    </row>
    <row r="16" spans="5:9" ht="22.5">
      <c r="E16" s="236" t="s">
        <v>142</v>
      </c>
      <c r="F16" s="238">
        <v>0.021</v>
      </c>
      <c r="G16" s="238">
        <v>0.024</v>
      </c>
      <c r="H16" s="238">
        <v>0.026</v>
      </c>
      <c r="I16" s="238">
        <v>0.028</v>
      </c>
    </row>
  </sheetData>
  <sheetProtection/>
  <mergeCells count="4">
    <mergeCell ref="E4:I4"/>
    <mergeCell ref="E9:I9"/>
    <mergeCell ref="E14:I14"/>
    <mergeCell ref="E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O90"/>
  <sheetViews>
    <sheetView zoomScalePageLayoutView="0" workbookViewId="0" topLeftCell="A25">
      <selection activeCell="L87" sqref="L87"/>
    </sheetView>
  </sheetViews>
  <sheetFormatPr defaultColWidth="11.421875" defaultRowHeight="12.75"/>
  <cols>
    <col min="1" max="3" width="11.421875" style="100" customWidth="1"/>
    <col min="4" max="4" width="19.28125" style="100" customWidth="1"/>
    <col min="5" max="5" width="14.28125" style="100" customWidth="1"/>
    <col min="6" max="6" width="12.8515625" style="100" customWidth="1"/>
    <col min="7" max="7" width="12.140625" style="100" bestFit="1" customWidth="1"/>
    <col min="8" max="8" width="12.7109375" style="100" customWidth="1"/>
    <col min="9" max="9" width="16.421875" style="100" customWidth="1"/>
    <col min="10" max="10" width="11.421875" style="100" customWidth="1"/>
    <col min="11" max="11" width="11.7109375" style="100" bestFit="1" customWidth="1"/>
    <col min="12" max="12" width="13.28125" style="100" bestFit="1" customWidth="1"/>
    <col min="13" max="16384" width="11.421875" style="100" customWidth="1"/>
  </cols>
  <sheetData>
    <row r="3" spans="3:9" ht="12.75">
      <c r="C3" s="570" t="s">
        <v>152</v>
      </c>
      <c r="D3" s="571"/>
      <c r="E3" s="571"/>
      <c r="F3" s="571"/>
      <c r="G3" s="571"/>
      <c r="H3" s="571"/>
      <c r="I3" s="572"/>
    </row>
    <row r="4" spans="3:9" ht="12.75">
      <c r="C4" s="154"/>
      <c r="D4" s="23"/>
      <c r="E4" s="23"/>
      <c r="F4" s="23"/>
      <c r="G4" s="23"/>
      <c r="H4" s="23"/>
      <c r="I4" s="155"/>
    </row>
    <row r="5" spans="3:9" ht="29.25" customHeight="1">
      <c r="C5" s="563" t="s">
        <v>68</v>
      </c>
      <c r="D5" s="564"/>
      <c r="E5" s="252" t="str">
        <f>E17</f>
        <v>INICIALES AYTO</v>
      </c>
      <c r="F5" s="252" t="s">
        <v>105</v>
      </c>
      <c r="G5" s="252" t="s">
        <v>70</v>
      </c>
      <c r="H5" s="156" t="s">
        <v>106</v>
      </c>
      <c r="I5" s="157" t="s">
        <v>2</v>
      </c>
    </row>
    <row r="6" spans="3:9" ht="12.75">
      <c r="C6" s="158" t="s">
        <v>3</v>
      </c>
      <c r="D6" s="159" t="s">
        <v>71</v>
      </c>
      <c r="E6" s="31">
        <v>7070800</v>
      </c>
      <c r="F6" s="31"/>
      <c r="G6" s="31">
        <v>7769327.22</v>
      </c>
      <c r="H6" s="160">
        <v>1</v>
      </c>
      <c r="I6" s="38">
        <f>G6</f>
        <v>7769327.22</v>
      </c>
    </row>
    <row r="7" spans="3:9" ht="12.75">
      <c r="C7" s="161" t="s">
        <v>5</v>
      </c>
      <c r="D7" s="162" t="s">
        <v>72</v>
      </c>
      <c r="E7" s="36">
        <v>121000</v>
      </c>
      <c r="F7" s="36"/>
      <c r="G7" s="36">
        <v>105311.32</v>
      </c>
      <c r="H7" s="115">
        <v>1</v>
      </c>
      <c r="I7" s="38">
        <f>G7</f>
        <v>105311.32</v>
      </c>
    </row>
    <row r="8" spans="3:9" ht="12.75">
      <c r="C8" s="161" t="s">
        <v>7</v>
      </c>
      <c r="D8" s="162" t="s">
        <v>73</v>
      </c>
      <c r="E8" s="36">
        <v>1816200</v>
      </c>
      <c r="F8" s="36"/>
      <c r="G8" s="36">
        <v>1972402.04</v>
      </c>
      <c r="H8" s="115">
        <v>1</v>
      </c>
      <c r="I8" s="38">
        <f>G8</f>
        <v>1972402.04</v>
      </c>
    </row>
    <row r="9" spans="3:12" ht="12.75">
      <c r="C9" s="161" t="s">
        <v>9</v>
      </c>
      <c r="D9" s="162" t="s">
        <v>18</v>
      </c>
      <c r="E9" s="36">
        <v>3572000</v>
      </c>
      <c r="F9" s="36">
        <v>11362.24</v>
      </c>
      <c r="G9" s="36">
        <v>2671125.78</v>
      </c>
      <c r="H9" s="163">
        <v>1</v>
      </c>
      <c r="I9" s="38">
        <f>G9+(246515*3)+(14000*3)</f>
        <v>3452670.78</v>
      </c>
      <c r="L9" s="223">
        <f>G9-I9</f>
        <v>-781545</v>
      </c>
    </row>
    <row r="10" spans="3:9" ht="12.75">
      <c r="C10" s="161" t="s">
        <v>11</v>
      </c>
      <c r="D10" s="162" t="s">
        <v>19</v>
      </c>
      <c r="E10" s="36">
        <v>185000</v>
      </c>
      <c r="F10" s="36"/>
      <c r="G10" s="36">
        <v>182061.79</v>
      </c>
      <c r="H10" s="115">
        <v>1</v>
      </c>
      <c r="I10" s="38">
        <f>G10</f>
        <v>182061.79</v>
      </c>
    </row>
    <row r="11" spans="3:9" ht="12.75">
      <c r="C11" s="164"/>
      <c r="D11" s="165" t="s">
        <v>12</v>
      </c>
      <c r="E11" s="41">
        <f>SUM(E6:E10)</f>
        <v>12765000</v>
      </c>
      <c r="F11" s="41">
        <f>SUM(F6:F10)</f>
        <v>11362.24</v>
      </c>
      <c r="G11" s="41">
        <f>SUM(G6:G10)</f>
        <v>12700228.149999999</v>
      </c>
      <c r="H11" s="166">
        <v>1</v>
      </c>
      <c r="I11" s="43">
        <f>SUM(I6:I10)</f>
        <v>13481773.149999999</v>
      </c>
    </row>
    <row r="12" spans="3:9" ht="12.75">
      <c r="C12" s="161" t="s">
        <v>13</v>
      </c>
      <c r="D12" s="162" t="s">
        <v>20</v>
      </c>
      <c r="E12" s="36"/>
      <c r="F12" s="36"/>
      <c r="G12" s="36"/>
      <c r="H12" s="167">
        <v>1</v>
      </c>
      <c r="I12" s="38"/>
    </row>
    <row r="13" spans="3:9" ht="12.75">
      <c r="C13" s="161" t="s">
        <v>15</v>
      </c>
      <c r="D13" s="162" t="s">
        <v>16</v>
      </c>
      <c r="E13" s="261" t="s">
        <v>153</v>
      </c>
      <c r="F13" s="36">
        <v>17251.47</v>
      </c>
      <c r="G13" s="36">
        <f>F13</f>
        <v>17251.47</v>
      </c>
      <c r="H13" s="167">
        <v>1</v>
      </c>
      <c r="I13" s="38">
        <f>G13*H13</f>
        <v>17251.47</v>
      </c>
    </row>
    <row r="14" spans="3:9" ht="12.75">
      <c r="C14" s="164"/>
      <c r="D14" s="165" t="s">
        <v>17</v>
      </c>
      <c r="E14" s="41"/>
      <c r="F14" s="41">
        <f>F13</f>
        <v>17251.47</v>
      </c>
      <c r="G14" s="41">
        <f>G13</f>
        <v>17251.47</v>
      </c>
      <c r="H14" s="168"/>
      <c r="I14" s="43">
        <f>SUM(I12:I13)</f>
        <v>17251.47</v>
      </c>
    </row>
    <row r="15" spans="3:9" ht="12.75">
      <c r="C15" s="164"/>
      <c r="D15" s="169" t="s">
        <v>1</v>
      </c>
      <c r="E15" s="170">
        <f>E11+E14</f>
        <v>12765000</v>
      </c>
      <c r="F15" s="170">
        <f>F11+F14</f>
        <v>28613.71</v>
      </c>
      <c r="G15" s="170">
        <f>G11+G14</f>
        <v>12717479.62</v>
      </c>
      <c r="H15" s="171"/>
      <c r="I15" s="172">
        <f>I11+I14</f>
        <v>13499024.62</v>
      </c>
    </row>
    <row r="16" spans="3:9" ht="12.75">
      <c r="C16" s="173"/>
      <c r="D16" s="49"/>
      <c r="E16" s="50"/>
      <c r="F16" s="50"/>
      <c r="G16" s="51"/>
      <c r="H16" s="49"/>
      <c r="I16" s="174"/>
    </row>
    <row r="17" spans="3:9" ht="21.75" thickBot="1">
      <c r="C17" s="563" t="s">
        <v>74</v>
      </c>
      <c r="D17" s="564"/>
      <c r="E17" s="252" t="s">
        <v>69</v>
      </c>
      <c r="F17" s="175" t="s">
        <v>107</v>
      </c>
      <c r="G17" s="252" t="str">
        <f>G5</f>
        <v>DEFI AYTO</v>
      </c>
      <c r="H17" s="253" t="s">
        <v>56</v>
      </c>
      <c r="I17" s="262" t="s">
        <v>2</v>
      </c>
    </row>
    <row r="18" spans="3:15" ht="13.5" thickBot="1">
      <c r="C18" s="158" t="s">
        <v>3</v>
      </c>
      <c r="D18" s="158" t="s">
        <v>4</v>
      </c>
      <c r="E18" s="54">
        <v>7957629.45</v>
      </c>
      <c r="F18" s="31">
        <f>63745.6+5940.09</f>
        <v>69685.69</v>
      </c>
      <c r="G18" s="55">
        <v>8232631.24</v>
      </c>
      <c r="H18" s="116">
        <f>'[1]AJUSTES'!D22</f>
        <v>0.8842</v>
      </c>
      <c r="I18" s="33">
        <f>G18*H18</f>
        <v>7279292.542408</v>
      </c>
      <c r="M18" s="176" t="s">
        <v>108</v>
      </c>
      <c r="N18" s="177" t="s">
        <v>109</v>
      </c>
      <c r="O18" s="178" t="s">
        <v>110</v>
      </c>
    </row>
    <row r="19" spans="3:15" ht="12.75">
      <c r="C19" s="161" t="s">
        <v>5</v>
      </c>
      <c r="D19" s="161" t="s">
        <v>6</v>
      </c>
      <c r="E19" s="54">
        <v>3753085.06</v>
      </c>
      <c r="F19" s="36">
        <f>50051.76-45925.39</f>
        <v>4126.370000000003</v>
      </c>
      <c r="G19" s="55">
        <v>3766418.93</v>
      </c>
      <c r="H19" s="116">
        <f>'[1]AJUSTES'!D23</f>
        <v>0.807</v>
      </c>
      <c r="I19" s="38">
        <f>G19*H19</f>
        <v>3039500.0765100005</v>
      </c>
      <c r="M19" s="16" t="s">
        <v>111</v>
      </c>
      <c r="N19" s="179">
        <f>1-O19</f>
        <v>0.11580000000000001</v>
      </c>
      <c r="O19" s="180">
        <f>H18</f>
        <v>0.8842</v>
      </c>
    </row>
    <row r="20" spans="3:15" ht="12.75">
      <c r="C20" s="161" t="s">
        <v>7</v>
      </c>
      <c r="D20" s="161" t="s">
        <v>8</v>
      </c>
      <c r="E20" s="54">
        <v>9500</v>
      </c>
      <c r="F20" s="36">
        <v>5000</v>
      </c>
      <c r="G20" s="55">
        <f>E20+F20</f>
        <v>14500</v>
      </c>
      <c r="H20" s="116">
        <f>'[1]AJUSTES'!K24</f>
        <v>0</v>
      </c>
      <c r="I20" s="38">
        <v>14500</v>
      </c>
      <c r="M20" s="15" t="s">
        <v>112</v>
      </c>
      <c r="N20" s="181">
        <f>1-O20</f>
        <v>0.19299999999999995</v>
      </c>
      <c r="O20" s="182">
        <f>H19</f>
        <v>0.807</v>
      </c>
    </row>
    <row r="21" spans="3:15" ht="12.75">
      <c r="C21" s="161" t="s">
        <v>9</v>
      </c>
      <c r="D21" s="161" t="s">
        <v>10</v>
      </c>
      <c r="E21" s="54">
        <v>372400</v>
      </c>
      <c r="F21" s="36">
        <v>19037</v>
      </c>
      <c r="G21" s="55">
        <v>391437</v>
      </c>
      <c r="H21" s="116">
        <f>'[1]AJUSTES'!D25+10%</f>
        <v>0.8559</v>
      </c>
      <c r="I21" s="38">
        <f>G21*H21</f>
        <v>335030.92829999997</v>
      </c>
      <c r="M21" s="15" t="s">
        <v>113</v>
      </c>
      <c r="N21" s="181">
        <f>1-O21</f>
        <v>0.1441</v>
      </c>
      <c r="O21" s="182">
        <f>H21</f>
        <v>0.8559</v>
      </c>
    </row>
    <row r="22" spans="3:15" ht="13.5" thickBot="1">
      <c r="C22" s="161" t="s">
        <v>11</v>
      </c>
      <c r="D22" s="161"/>
      <c r="E22" s="54">
        <v>10000</v>
      </c>
      <c r="F22" s="36"/>
      <c r="G22" s="55">
        <v>10000</v>
      </c>
      <c r="H22" s="119"/>
      <c r="I22" s="105">
        <v>0</v>
      </c>
      <c r="M22" s="17" t="s">
        <v>114</v>
      </c>
      <c r="N22" s="183">
        <f>1-O22</f>
        <v>1</v>
      </c>
      <c r="O22" s="184">
        <f>H24</f>
        <v>0</v>
      </c>
    </row>
    <row r="23" spans="3:9" ht="12.75">
      <c r="C23" s="164"/>
      <c r="D23" s="164" t="s">
        <v>12</v>
      </c>
      <c r="E23" s="57">
        <f>SUM(E18:E22)</f>
        <v>12102614.51</v>
      </c>
      <c r="F23" s="41">
        <f>SUM(F18:F22)</f>
        <v>97849.06</v>
      </c>
      <c r="G23" s="58">
        <f>SUM(G18:G22)</f>
        <v>12414987.17</v>
      </c>
      <c r="H23" s="120"/>
      <c r="I23" s="105">
        <f>SUM(I18:I22)</f>
        <v>10668323.547218</v>
      </c>
    </row>
    <row r="24" spans="3:9" ht="12.75">
      <c r="C24" s="161" t="s">
        <v>13</v>
      </c>
      <c r="D24" s="161" t="s">
        <v>14</v>
      </c>
      <c r="E24" s="54">
        <v>662385.49</v>
      </c>
      <c r="F24" s="36">
        <f>911667.58+2828835.37</f>
        <v>3740502.95</v>
      </c>
      <c r="G24" s="55">
        <v>4695067.03</v>
      </c>
      <c r="H24" s="117"/>
      <c r="I24" s="82">
        <f>'[1]capi 6'!I16</f>
        <v>3696807.42</v>
      </c>
    </row>
    <row r="25" spans="3:9" ht="12.75">
      <c r="C25" s="161" t="s">
        <v>15</v>
      </c>
      <c r="D25" s="161" t="s">
        <v>16</v>
      </c>
      <c r="E25" s="54"/>
      <c r="F25" s="112"/>
      <c r="G25" s="55"/>
      <c r="H25" s="37"/>
      <c r="I25" s="38">
        <v>0</v>
      </c>
    </row>
    <row r="26" spans="3:9" ht="12.75">
      <c r="C26" s="164"/>
      <c r="D26" s="164" t="s">
        <v>17</v>
      </c>
      <c r="E26" s="121">
        <f>E24+E25</f>
        <v>662385.49</v>
      </c>
      <c r="F26" s="121">
        <f>F24</f>
        <v>3740502.95</v>
      </c>
      <c r="G26" s="58">
        <f>SUM(G24:G25)</f>
        <v>4695067.03</v>
      </c>
      <c r="H26" s="42"/>
      <c r="I26" s="43">
        <f>SUM(I24:I25)</f>
        <v>3696807.42</v>
      </c>
    </row>
    <row r="27" spans="3:9" ht="12.75">
      <c r="C27" s="164"/>
      <c r="D27" s="169" t="s">
        <v>1</v>
      </c>
      <c r="E27" s="172">
        <f>E23+E26</f>
        <v>12765000</v>
      </c>
      <c r="F27" s="172">
        <f>F23+F26</f>
        <v>3838352.0100000002</v>
      </c>
      <c r="G27" s="185">
        <f>SUM(G23+G26)</f>
        <v>17110054.2</v>
      </c>
      <c r="H27" s="171"/>
      <c r="I27" s="172">
        <f>I23+I26</f>
        <v>14365130.967218</v>
      </c>
    </row>
    <row r="28" spans="3:9" ht="12.75">
      <c r="C28" s="118"/>
      <c r="D28" s="19"/>
      <c r="E28" s="19"/>
      <c r="F28" s="19"/>
      <c r="G28" s="19"/>
      <c r="H28" s="19"/>
      <c r="I28" s="155"/>
    </row>
    <row r="29" spans="3:9" ht="19.5" customHeight="1">
      <c r="C29" s="565" t="s">
        <v>21</v>
      </c>
      <c r="D29" s="566"/>
      <c r="E29" s="186">
        <f>E15-E27</f>
        <v>0</v>
      </c>
      <c r="F29" s="186">
        <f>F15-F27</f>
        <v>-3809738.3000000003</v>
      </c>
      <c r="G29" s="186">
        <f>G15-G27</f>
        <v>-4392574.58</v>
      </c>
      <c r="H29" s="186"/>
      <c r="I29" s="187">
        <f>I15-I27</f>
        <v>-866106.3472180013</v>
      </c>
    </row>
    <row r="31" spans="3:9" ht="12.75" customHeight="1">
      <c r="C31" s="565" t="s">
        <v>131</v>
      </c>
      <c r="D31" s="573"/>
      <c r="E31" s="152"/>
      <c r="F31" s="152"/>
      <c r="G31" s="153"/>
      <c r="H31" s="188" t="s">
        <v>136</v>
      </c>
      <c r="I31" s="188" t="s">
        <v>137</v>
      </c>
    </row>
    <row r="32" spans="3:9" ht="12.75" customHeight="1">
      <c r="C32" s="567">
        <v>1</v>
      </c>
      <c r="D32" s="189" t="s">
        <v>75</v>
      </c>
      <c r="E32" s="190"/>
      <c r="F32" s="191"/>
      <c r="G32" s="191"/>
      <c r="H32" s="192">
        <f>SUM(H33:H37)</f>
        <v>1815622.1195911951</v>
      </c>
      <c r="I32" s="192">
        <f>SUM(I33:I37)</f>
        <v>0</v>
      </c>
    </row>
    <row r="33" spans="3:9" ht="12.75">
      <c r="C33" s="568"/>
      <c r="D33" s="193" t="s">
        <v>40</v>
      </c>
      <c r="E33" s="190" t="s">
        <v>115</v>
      </c>
      <c r="F33" s="148">
        <v>0.8755</v>
      </c>
      <c r="G33" s="149">
        <v>0.12450000000000006</v>
      </c>
      <c r="H33" s="194">
        <v>984067.4771110208</v>
      </c>
      <c r="I33" s="194">
        <v>0</v>
      </c>
    </row>
    <row r="34" spans="3:9" ht="12.75">
      <c r="C34" s="568"/>
      <c r="D34" s="193" t="s">
        <v>41</v>
      </c>
      <c r="E34" s="190" t="s">
        <v>115</v>
      </c>
      <c r="F34" s="148">
        <v>0.8534600000000001</v>
      </c>
      <c r="G34" s="149">
        <v>0.1465399999999999</v>
      </c>
      <c r="H34" s="194">
        <v>521118.74248017446</v>
      </c>
      <c r="I34" s="194">
        <v>0</v>
      </c>
    </row>
    <row r="35" spans="3:9" ht="12.75">
      <c r="C35" s="568"/>
      <c r="D35" s="193" t="s">
        <v>104</v>
      </c>
      <c r="E35" s="190" t="s">
        <v>115</v>
      </c>
      <c r="F35" s="148">
        <v>1</v>
      </c>
      <c r="G35" s="149">
        <v>0</v>
      </c>
      <c r="H35" s="194">
        <v>0</v>
      </c>
      <c r="I35" s="194">
        <f>G21*H35</f>
        <v>0</v>
      </c>
    </row>
    <row r="36" spans="3:9" ht="12.75">
      <c r="C36" s="568"/>
      <c r="D36" s="193" t="s">
        <v>42</v>
      </c>
      <c r="E36" s="190" t="s">
        <v>115</v>
      </c>
      <c r="F36" s="148">
        <v>0.86862</v>
      </c>
      <c r="G36" s="149">
        <v>0.13138000000000005</v>
      </c>
      <c r="H36" s="194">
        <v>46639.900000000016</v>
      </c>
      <c r="I36" s="194">
        <v>0</v>
      </c>
    </row>
    <row r="37" spans="3:9" ht="12.75">
      <c r="C37" s="569"/>
      <c r="D37" s="193" t="s">
        <v>57</v>
      </c>
      <c r="E37" s="190"/>
      <c r="F37" s="148">
        <v>0.6</v>
      </c>
      <c r="G37" s="149">
        <v>0.4</v>
      </c>
      <c r="H37" s="195">
        <v>263796</v>
      </c>
      <c r="I37" s="195">
        <f>G25*H37</f>
        <v>0</v>
      </c>
    </row>
    <row r="38" spans="3:9" ht="12.75" customHeight="1">
      <c r="C38" s="567">
        <v>2</v>
      </c>
      <c r="D38" s="189" t="s">
        <v>76</v>
      </c>
      <c r="E38" s="196"/>
      <c r="F38" s="197"/>
      <c r="G38" s="198"/>
      <c r="H38" s="192">
        <v>0</v>
      </c>
      <c r="I38" s="192">
        <v>0</v>
      </c>
    </row>
    <row r="39" spans="3:9" ht="12.75">
      <c r="C39" s="568"/>
      <c r="D39" s="193" t="s">
        <v>77</v>
      </c>
      <c r="E39" s="199"/>
      <c r="F39" s="200"/>
      <c r="G39" s="201"/>
      <c r="H39" s="194">
        <v>0</v>
      </c>
      <c r="I39" s="194">
        <v>0</v>
      </c>
    </row>
    <row r="40" spans="3:9" ht="12.75">
      <c r="C40" s="569"/>
      <c r="D40" s="202" t="s">
        <v>78</v>
      </c>
      <c r="E40" s="203"/>
      <c r="F40" s="204"/>
      <c r="G40" s="205"/>
      <c r="H40" s="195">
        <v>0</v>
      </c>
      <c r="I40" s="195">
        <v>0</v>
      </c>
    </row>
    <row r="41" spans="3:9" ht="12.75" customHeight="1">
      <c r="C41" s="567">
        <v>3</v>
      </c>
      <c r="D41" s="189" t="s">
        <v>79</v>
      </c>
      <c r="E41" s="196"/>
      <c r="F41" s="197"/>
      <c r="G41" s="198"/>
      <c r="H41" s="206">
        <f>H43</f>
        <v>6564.24</v>
      </c>
      <c r="I41" s="206">
        <f>I43</f>
        <v>6564.24</v>
      </c>
    </row>
    <row r="42" spans="3:9" ht="12.75">
      <c r="C42" s="568"/>
      <c r="D42" s="193" t="s">
        <v>80</v>
      </c>
      <c r="E42" s="199"/>
      <c r="F42" s="200"/>
      <c r="G42" s="201"/>
      <c r="H42" s="194">
        <v>0</v>
      </c>
      <c r="I42" s="194">
        <v>0</v>
      </c>
    </row>
    <row r="43" spans="3:9" ht="31.5" customHeight="1">
      <c r="C43" s="569"/>
      <c r="D43" s="202" t="s">
        <v>81</v>
      </c>
      <c r="E43" s="203"/>
      <c r="F43" s="204"/>
      <c r="G43" s="205"/>
      <c r="H43" s="195">
        <v>6564.24</v>
      </c>
      <c r="I43" s="195">
        <v>6564.24</v>
      </c>
    </row>
    <row r="44" spans="3:9" ht="12.75" customHeight="1">
      <c r="C44" s="567">
        <v>4</v>
      </c>
      <c r="D44" s="207" t="s">
        <v>82</v>
      </c>
      <c r="E44" s="208"/>
      <c r="F44" s="209"/>
      <c r="G44" s="210"/>
      <c r="H44" s="192">
        <f>SUM(H45:H46)</f>
        <v>-25000</v>
      </c>
      <c r="I44" s="192">
        <f>SUM(I45:I46)</f>
        <v>-9086.240000000005</v>
      </c>
    </row>
    <row r="45" spans="3:9" ht="12.75">
      <c r="C45" s="568"/>
      <c r="D45" s="193" t="s">
        <v>140</v>
      </c>
      <c r="E45" s="208"/>
      <c r="F45" s="209"/>
      <c r="G45" s="210"/>
      <c r="H45" s="194">
        <v>100000</v>
      </c>
      <c r="I45" s="89">
        <v>100000</v>
      </c>
    </row>
    <row r="46" spans="3:9" ht="12.75">
      <c r="C46" s="569"/>
      <c r="D46" s="202" t="s">
        <v>141</v>
      </c>
      <c r="E46" s="211"/>
      <c r="F46" s="212"/>
      <c r="G46" s="213"/>
      <c r="H46" s="194">
        <v>-125000</v>
      </c>
      <c r="I46" s="89">
        <v>-109086.24</v>
      </c>
    </row>
    <row r="47" spans="3:9" ht="12.75" customHeight="1">
      <c r="C47" s="567">
        <v>5</v>
      </c>
      <c r="D47" s="189" t="s">
        <v>83</v>
      </c>
      <c r="E47" s="214"/>
      <c r="F47" s="215"/>
      <c r="G47" s="216"/>
      <c r="H47" s="206">
        <v>-582040.692</v>
      </c>
      <c r="I47" s="206">
        <f>SUM(I48:I50)</f>
        <v>-700156.0199999997</v>
      </c>
    </row>
    <row r="48" spans="3:11" ht="12.75">
      <c r="C48" s="568"/>
      <c r="D48" s="193" t="s">
        <v>49</v>
      </c>
      <c r="E48" s="199"/>
      <c r="F48" s="200"/>
      <c r="G48" s="201"/>
      <c r="H48" s="194">
        <v>-692872.6979999999</v>
      </c>
      <c r="I48" s="194">
        <f>'[1]AJUSTES'!K10-'[1]ESTABILIDAD PPTARIA 2018'!I6</f>
        <v>-744349.503333333</v>
      </c>
      <c r="J48" s="217" t="s">
        <v>40</v>
      </c>
      <c r="K48" s="218">
        <f>I48+I53</f>
        <v>-179137.39999999956</v>
      </c>
    </row>
    <row r="49" spans="3:11" ht="12.75">
      <c r="C49" s="568"/>
      <c r="D49" s="193" t="s">
        <v>50</v>
      </c>
      <c r="E49" s="199"/>
      <c r="F49" s="200"/>
      <c r="G49" s="201"/>
      <c r="H49" s="194">
        <v>36336.61800000002</v>
      </c>
      <c r="I49" s="194">
        <f>'[1]AJUSTES'!K11-'[1]ESTABILIDAD PPTARIA 2018'!I7</f>
        <v>30779.129999999976</v>
      </c>
      <c r="J49" s="219" t="s">
        <v>41</v>
      </c>
      <c r="K49" s="220">
        <f>I49+I54</f>
        <v>31999.24333333331</v>
      </c>
    </row>
    <row r="50" spans="3:11" ht="12.75">
      <c r="C50" s="568"/>
      <c r="D50" s="193" t="s">
        <v>44</v>
      </c>
      <c r="E50" s="199"/>
      <c r="F50" s="200"/>
      <c r="G50" s="201"/>
      <c r="H50" s="194">
        <v>74495.3879999998</v>
      </c>
      <c r="I50" s="194">
        <f>'[1]AJUSTES'!K12-'[1]ESTABILIDAD PPTARIA 2018'!I8</f>
        <v>13414.353333333274</v>
      </c>
      <c r="J50" s="221" t="s">
        <v>134</v>
      </c>
      <c r="K50" s="222">
        <f>I50+I55</f>
        <v>121137.00333333325</v>
      </c>
    </row>
    <row r="51" spans="3:11" ht="12.75">
      <c r="C51" s="569"/>
      <c r="D51" s="193"/>
      <c r="E51" s="203"/>
      <c r="F51" s="204"/>
      <c r="G51" s="205"/>
      <c r="H51" s="194"/>
      <c r="I51" s="194"/>
      <c r="K51" s="223"/>
    </row>
    <row r="52" spans="3:9" ht="12.75" customHeight="1">
      <c r="C52" s="567">
        <v>6</v>
      </c>
      <c r="D52" s="189" t="s">
        <v>84</v>
      </c>
      <c r="E52" s="196"/>
      <c r="F52" s="197"/>
      <c r="G52" s="198"/>
      <c r="H52" s="206">
        <v>700238.2494999999</v>
      </c>
      <c r="I52" s="206">
        <f>SUM(I53:I55)</f>
        <v>674154.8666666667</v>
      </c>
    </row>
    <row r="53" spans="3:9" ht="12.75">
      <c r="C53" s="568"/>
      <c r="D53" s="193" t="s">
        <v>45</v>
      </c>
      <c r="E53" s="199"/>
      <c r="F53" s="200"/>
      <c r="G53" s="201"/>
      <c r="H53" s="194">
        <v>544301.578</v>
      </c>
      <c r="I53" s="194">
        <f>'[1]AJUSTES'!K15</f>
        <v>565212.1033333334</v>
      </c>
    </row>
    <row r="54" spans="3:9" ht="12.75">
      <c r="C54" s="568"/>
      <c r="D54" s="193" t="s">
        <v>46</v>
      </c>
      <c r="E54" s="199"/>
      <c r="F54" s="200"/>
      <c r="G54" s="201"/>
      <c r="H54" s="194">
        <v>1944.0639999999999</v>
      </c>
      <c r="I54" s="194">
        <f>'[1]AJUSTES'!K16</f>
        <v>1220.1133333333335</v>
      </c>
    </row>
    <row r="55" spans="3:9" ht="12.75">
      <c r="C55" s="568"/>
      <c r="D55" s="193" t="s">
        <v>47</v>
      </c>
      <c r="E55" s="199"/>
      <c r="F55" s="200"/>
      <c r="G55" s="201"/>
      <c r="H55" s="194">
        <v>153992.60749999998</v>
      </c>
      <c r="I55" s="194">
        <f>'[1]AJUSTES'!K17</f>
        <v>107722.64999999998</v>
      </c>
    </row>
    <row r="56" spans="3:9" ht="12.75">
      <c r="C56" s="569"/>
      <c r="D56" s="193"/>
      <c r="E56" s="203"/>
      <c r="F56" s="204"/>
      <c r="G56" s="205"/>
      <c r="H56" s="194"/>
      <c r="I56" s="194"/>
    </row>
    <row r="57" spans="3:9" ht="12.75" customHeight="1">
      <c r="C57" s="567">
        <v>7</v>
      </c>
      <c r="D57" s="189" t="s">
        <v>85</v>
      </c>
      <c r="E57" s="196"/>
      <c r="F57" s="197"/>
      <c r="G57" s="198"/>
      <c r="H57" s="206">
        <f>H60+H59+H58</f>
        <v>0</v>
      </c>
      <c r="I57" s="206">
        <f>I60+I59+I58</f>
        <v>0</v>
      </c>
    </row>
    <row r="58" spans="3:9" ht="12.75">
      <c r="C58" s="568"/>
      <c r="D58" s="193" t="s">
        <v>116</v>
      </c>
      <c r="E58" s="199"/>
      <c r="F58" s="200"/>
      <c r="G58" s="201"/>
      <c r="H58" s="194">
        <v>0</v>
      </c>
      <c r="I58" s="194">
        <v>0</v>
      </c>
    </row>
    <row r="59" spans="3:9" ht="12.75">
      <c r="C59" s="568"/>
      <c r="D59" s="193" t="s">
        <v>117</v>
      </c>
      <c r="E59" s="199"/>
      <c r="F59" s="200"/>
      <c r="G59" s="201"/>
      <c r="H59" s="194">
        <v>0</v>
      </c>
      <c r="I59" s="194">
        <v>0</v>
      </c>
    </row>
    <row r="60" spans="3:9" ht="12.75">
      <c r="C60" s="568"/>
      <c r="D60" s="193" t="s">
        <v>118</v>
      </c>
      <c r="E60" s="199"/>
      <c r="F60" s="200"/>
      <c r="G60" s="201"/>
      <c r="H60" s="194">
        <v>0</v>
      </c>
      <c r="I60" s="194">
        <v>0</v>
      </c>
    </row>
    <row r="61" spans="3:9" ht="12.75">
      <c r="C61" s="569"/>
      <c r="D61" s="193"/>
      <c r="E61" s="203"/>
      <c r="F61" s="204"/>
      <c r="G61" s="205"/>
      <c r="H61" s="194"/>
      <c r="I61" s="194"/>
    </row>
    <row r="62" spans="3:9" ht="12.75" hidden="1">
      <c r="C62" s="558">
        <v>8</v>
      </c>
      <c r="D62" s="158" t="s">
        <v>86</v>
      </c>
      <c r="E62" s="199"/>
      <c r="F62" s="200"/>
      <c r="G62" s="201"/>
      <c r="H62" s="206">
        <v>0</v>
      </c>
      <c r="I62" s="206">
        <v>0</v>
      </c>
    </row>
    <row r="63" spans="3:9" ht="12.75" hidden="1">
      <c r="C63" s="559"/>
      <c r="D63" s="224"/>
      <c r="E63" s="199"/>
      <c r="F63" s="200"/>
      <c r="G63" s="201"/>
      <c r="H63" s="194"/>
      <c r="I63" s="194"/>
    </row>
    <row r="64" spans="3:9" ht="9" customHeight="1" hidden="1">
      <c r="C64" s="560"/>
      <c r="D64" s="224"/>
      <c r="E64" s="208"/>
      <c r="F64" s="209"/>
      <c r="G64" s="210"/>
      <c r="H64" s="195"/>
      <c r="I64" s="195"/>
    </row>
    <row r="65" spans="3:9" ht="12.75" hidden="1">
      <c r="C65" s="558">
        <v>9</v>
      </c>
      <c r="D65" s="225" t="s">
        <v>121</v>
      </c>
      <c r="E65" s="215"/>
      <c r="F65" s="215"/>
      <c r="G65" s="216"/>
      <c r="H65" s="226">
        <v>0</v>
      </c>
      <c r="I65" s="226">
        <v>0</v>
      </c>
    </row>
    <row r="66" spans="3:9" ht="12.75" hidden="1">
      <c r="C66" s="560"/>
      <c r="D66" s="227"/>
      <c r="E66" s="209"/>
      <c r="F66" s="209"/>
      <c r="G66" s="210"/>
      <c r="H66" s="194"/>
      <c r="I66" s="194"/>
    </row>
    <row r="67" spans="3:9" ht="12.75" hidden="1">
      <c r="C67" s="561">
        <v>10</v>
      </c>
      <c r="D67" s="225" t="s">
        <v>122</v>
      </c>
      <c r="E67" s="215"/>
      <c r="F67" s="215"/>
      <c r="G67" s="215"/>
      <c r="H67" s="226">
        <v>0</v>
      </c>
      <c r="I67" s="226">
        <v>0</v>
      </c>
    </row>
    <row r="68" spans="3:9" ht="12.75" hidden="1">
      <c r="C68" s="562"/>
      <c r="D68" s="228"/>
      <c r="E68" s="212"/>
      <c r="F68" s="212"/>
      <c r="G68" s="212"/>
      <c r="H68" s="195"/>
      <c r="I68" s="195"/>
    </row>
    <row r="69" spans="3:9" ht="12.75" hidden="1">
      <c r="C69" s="561">
        <v>11</v>
      </c>
      <c r="D69" s="225" t="s">
        <v>123</v>
      </c>
      <c r="E69" s="215"/>
      <c r="F69" s="215"/>
      <c r="G69" s="215"/>
      <c r="H69" s="226">
        <v>0</v>
      </c>
      <c r="I69" s="226">
        <v>0</v>
      </c>
    </row>
    <row r="70" spans="3:9" ht="12.75" hidden="1">
      <c r="C70" s="562"/>
      <c r="D70" s="228"/>
      <c r="E70" s="212"/>
      <c r="F70" s="212"/>
      <c r="G70" s="212"/>
      <c r="H70" s="195"/>
      <c r="I70" s="195"/>
    </row>
    <row r="71" spans="3:9" ht="12.75" hidden="1">
      <c r="C71" s="250">
        <v>12</v>
      </c>
      <c r="D71" s="225" t="s">
        <v>124</v>
      </c>
      <c r="E71" s="215"/>
      <c r="F71" s="215"/>
      <c r="G71" s="215"/>
      <c r="H71" s="226">
        <v>0</v>
      </c>
      <c r="I71" s="226">
        <v>0</v>
      </c>
    </row>
    <row r="72" spans="3:9" ht="12.75" hidden="1">
      <c r="C72" s="251"/>
      <c r="D72" s="228"/>
      <c r="E72" s="212"/>
      <c r="F72" s="212"/>
      <c r="G72" s="212"/>
      <c r="H72" s="195"/>
      <c r="I72" s="195"/>
    </row>
    <row r="73" spans="3:9" ht="12.75" hidden="1">
      <c r="C73" s="250">
        <v>13</v>
      </c>
      <c r="D73" s="225" t="s">
        <v>132</v>
      </c>
      <c r="E73" s="215"/>
      <c r="F73" s="215"/>
      <c r="G73" s="215"/>
      <c r="H73" s="226">
        <v>0</v>
      </c>
      <c r="I73" s="226">
        <v>0</v>
      </c>
    </row>
    <row r="74" spans="3:9" ht="12.75" hidden="1">
      <c r="C74" s="251"/>
      <c r="D74" s="228"/>
      <c r="E74" s="212"/>
      <c r="F74" s="212"/>
      <c r="G74" s="212"/>
      <c r="H74" s="195"/>
      <c r="I74" s="195"/>
    </row>
    <row r="75" spans="3:9" ht="12.75" hidden="1">
      <c r="C75" s="250">
        <v>14</v>
      </c>
      <c r="D75" s="225" t="s">
        <v>125</v>
      </c>
      <c r="E75" s="215"/>
      <c r="F75" s="215"/>
      <c r="G75" s="215"/>
      <c r="H75" s="226">
        <v>0</v>
      </c>
      <c r="I75" s="226">
        <v>0</v>
      </c>
    </row>
    <row r="76" spans="3:9" ht="12.75" hidden="1">
      <c r="C76" s="251"/>
      <c r="D76" s="228"/>
      <c r="E76" s="212"/>
      <c r="F76" s="212"/>
      <c r="G76" s="212"/>
      <c r="H76" s="195"/>
      <c r="I76" s="195"/>
    </row>
    <row r="77" spans="3:9" ht="12.75" hidden="1">
      <c r="C77" s="250">
        <v>15</v>
      </c>
      <c r="D77" s="225" t="s">
        <v>126</v>
      </c>
      <c r="E77" s="215"/>
      <c r="F77" s="215"/>
      <c r="G77" s="215"/>
      <c r="H77" s="226">
        <v>0</v>
      </c>
      <c r="I77" s="226">
        <v>0</v>
      </c>
    </row>
    <row r="78" spans="3:9" ht="12.75" hidden="1">
      <c r="C78" s="251"/>
      <c r="D78" s="228"/>
      <c r="E78" s="212"/>
      <c r="F78" s="212"/>
      <c r="G78" s="212"/>
      <c r="H78" s="195"/>
      <c r="I78" s="195"/>
    </row>
    <row r="79" spans="3:9" ht="12.75" hidden="1">
      <c r="C79" s="250">
        <v>16</v>
      </c>
      <c r="D79" s="225" t="s">
        <v>127</v>
      </c>
      <c r="E79" s="215"/>
      <c r="F79" s="215"/>
      <c r="G79" s="215"/>
      <c r="H79" s="226">
        <v>0</v>
      </c>
      <c r="I79" s="226">
        <v>0</v>
      </c>
    </row>
    <row r="80" spans="3:9" ht="12.75" hidden="1">
      <c r="C80" s="251"/>
      <c r="D80" s="228"/>
      <c r="E80" s="212"/>
      <c r="F80" s="212"/>
      <c r="G80" s="212"/>
      <c r="H80" s="195"/>
      <c r="I80" s="195"/>
    </row>
    <row r="81" spans="3:9" ht="12.75" hidden="1">
      <c r="C81" s="250">
        <v>17</v>
      </c>
      <c r="D81" s="225" t="s">
        <v>128</v>
      </c>
      <c r="E81" s="215"/>
      <c r="F81" s="215"/>
      <c r="G81" s="215"/>
      <c r="H81" s="226">
        <v>0</v>
      </c>
      <c r="I81" s="226">
        <v>0</v>
      </c>
    </row>
    <row r="82" spans="3:9" ht="12.75" hidden="1">
      <c r="C82" s="251"/>
      <c r="D82" s="228"/>
      <c r="E82" s="212"/>
      <c r="F82" s="212"/>
      <c r="G82" s="212"/>
      <c r="H82" s="195"/>
      <c r="I82" s="195"/>
    </row>
    <row r="83" spans="3:9" ht="12.75" hidden="1">
      <c r="C83" s="250">
        <v>18</v>
      </c>
      <c r="D83" s="225" t="s">
        <v>129</v>
      </c>
      <c r="E83" s="215"/>
      <c r="F83" s="215"/>
      <c r="G83" s="215"/>
      <c r="H83" s="226">
        <v>0</v>
      </c>
      <c r="I83" s="226">
        <v>0</v>
      </c>
    </row>
    <row r="84" spans="3:9" ht="12.75" hidden="1">
      <c r="C84" s="251"/>
      <c r="D84" s="228"/>
      <c r="E84" s="212"/>
      <c r="F84" s="212"/>
      <c r="G84" s="212"/>
      <c r="H84" s="195"/>
      <c r="I84" s="195"/>
    </row>
    <row r="85" spans="3:9" ht="12.75" hidden="1">
      <c r="C85" s="250">
        <v>19</v>
      </c>
      <c r="D85" s="225" t="s">
        <v>130</v>
      </c>
      <c r="E85" s="215"/>
      <c r="F85" s="215"/>
      <c r="G85" s="215"/>
      <c r="H85" s="226">
        <v>0</v>
      </c>
      <c r="I85" s="226">
        <v>0</v>
      </c>
    </row>
    <row r="86" spans="3:9" ht="12.75" hidden="1">
      <c r="C86" s="249"/>
      <c r="D86" s="228"/>
      <c r="E86" s="212"/>
      <c r="F86" s="212"/>
      <c r="G86" s="212"/>
      <c r="H86" s="195"/>
      <c r="I86" s="195"/>
    </row>
    <row r="87" spans="3:9" ht="12.75" customHeight="1">
      <c r="C87" s="563" t="s">
        <v>53</v>
      </c>
      <c r="D87" s="564"/>
      <c r="E87" s="229"/>
      <c r="F87" s="229"/>
      <c r="G87" s="229"/>
      <c r="H87" s="230">
        <f>SUM(H32+H38+H41+H44+H47+H52+H57+H62+H65+H67+H69+H71+H73+H75+H77+H79+H81+H83+H85)</f>
        <v>1915383.917091195</v>
      </c>
      <c r="I87" s="230">
        <f>SUM(I32+I38+I41+I44+I47+I52+I57+I62+I65+I67+I69+I71+I73+I75+I77+I79+I81+I83+I85)</f>
        <v>-28523.15333333297</v>
      </c>
    </row>
    <row r="88" spans="3:9" ht="25.5" customHeight="1">
      <c r="C88" s="565" t="s">
        <v>22</v>
      </c>
      <c r="D88" s="566"/>
      <c r="E88" s="254"/>
      <c r="F88" s="255"/>
      <c r="G88" s="255"/>
      <c r="H88" s="231">
        <f>H30+H87</f>
        <v>1915383.917091195</v>
      </c>
      <c r="I88" s="231">
        <f>I29+I87</f>
        <v>-894629.5005513342</v>
      </c>
    </row>
    <row r="89" spans="3:8" ht="12.75">
      <c r="C89" s="79"/>
      <c r="D89" s="80"/>
      <c r="E89" s="80"/>
      <c r="F89" s="80"/>
      <c r="G89" s="80"/>
      <c r="H89" s="232"/>
    </row>
    <row r="90" ht="12.75">
      <c r="I90" s="263"/>
    </row>
  </sheetData>
  <sheetProtection/>
  <mergeCells count="18">
    <mergeCell ref="C38:C40"/>
    <mergeCell ref="C41:C43"/>
    <mergeCell ref="C3:I3"/>
    <mergeCell ref="C5:D5"/>
    <mergeCell ref="C17:D17"/>
    <mergeCell ref="C29:D29"/>
    <mergeCell ref="C31:D31"/>
    <mergeCell ref="C32:C37"/>
    <mergeCell ref="C67:C68"/>
    <mergeCell ref="C69:C70"/>
    <mergeCell ref="C87:D87"/>
    <mergeCell ref="C88:D88"/>
    <mergeCell ref="C44:C46"/>
    <mergeCell ref="C47:C51"/>
    <mergeCell ref="C52:C56"/>
    <mergeCell ref="C57:C61"/>
    <mergeCell ref="C62:C64"/>
    <mergeCell ref="C65:C66"/>
  </mergeCells>
  <conditionalFormatting sqref="H88:I88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87"/>
  <sheetViews>
    <sheetView zoomScalePageLayoutView="0" workbookViewId="0" topLeftCell="A1">
      <selection activeCell="L35" sqref="L35"/>
    </sheetView>
  </sheetViews>
  <sheetFormatPr defaultColWidth="11.421875" defaultRowHeight="12.75"/>
  <cols>
    <col min="1" max="1" width="2.421875" style="100" customWidth="1"/>
    <col min="2" max="2" width="12.57421875" style="100" customWidth="1"/>
    <col min="3" max="3" width="19.28125" style="100" customWidth="1"/>
    <col min="4" max="4" width="14.28125" style="100" customWidth="1"/>
    <col min="5" max="5" width="12.8515625" style="100" customWidth="1"/>
    <col min="6" max="6" width="12.140625" style="100" bestFit="1" customWidth="1"/>
    <col min="7" max="7" width="12.7109375" style="100" customWidth="1"/>
    <col min="8" max="8" width="16.421875" style="100" customWidth="1"/>
    <col min="9" max="9" width="11.421875" style="100" customWidth="1"/>
    <col min="10" max="10" width="11.7109375" style="100" bestFit="1" customWidth="1"/>
    <col min="11" max="11" width="13.28125" style="100" bestFit="1" customWidth="1"/>
    <col min="12" max="16384" width="11.421875" style="100" customWidth="1"/>
  </cols>
  <sheetData>
    <row r="2" spans="2:8" ht="12.75">
      <c r="B2" s="570" t="s">
        <v>152</v>
      </c>
      <c r="C2" s="571"/>
      <c r="D2" s="571"/>
      <c r="E2" s="571"/>
      <c r="F2" s="571"/>
      <c r="G2" s="571"/>
      <c r="H2" s="572"/>
    </row>
    <row r="3" spans="2:8" ht="12.75">
      <c r="B3" s="154"/>
      <c r="C3" s="23"/>
      <c r="D3" s="23"/>
      <c r="E3" s="23"/>
      <c r="F3" s="23"/>
      <c r="G3" s="23"/>
      <c r="H3" s="155"/>
    </row>
    <row r="4" spans="2:8" ht="29.25" customHeight="1">
      <c r="B4" s="563" t="s">
        <v>68</v>
      </c>
      <c r="C4" s="564"/>
      <c r="D4" s="279" t="str">
        <f>D16</f>
        <v>INICIALES AYTO</v>
      </c>
      <c r="E4" s="279" t="s">
        <v>105</v>
      </c>
      <c r="F4" s="283" t="s">
        <v>70</v>
      </c>
      <c r="G4" s="284" t="s">
        <v>106</v>
      </c>
      <c r="H4" s="157" t="s">
        <v>2</v>
      </c>
    </row>
    <row r="5" spans="2:8" ht="12.75">
      <c r="B5" s="158" t="s">
        <v>3</v>
      </c>
      <c r="C5" s="159" t="s">
        <v>71</v>
      </c>
      <c r="D5" s="31">
        <v>7175800</v>
      </c>
      <c r="E5" s="31"/>
      <c r="F5" s="31">
        <f>D5</f>
        <v>7175800</v>
      </c>
      <c r="G5" s="285">
        <v>1</v>
      </c>
      <c r="H5" s="286">
        <v>7500000</v>
      </c>
    </row>
    <row r="6" spans="2:8" ht="12.75">
      <c r="B6" s="161" t="s">
        <v>5</v>
      </c>
      <c r="C6" s="162" t="s">
        <v>72</v>
      </c>
      <c r="D6" s="36">
        <v>106000</v>
      </c>
      <c r="E6" s="36"/>
      <c r="F6" s="36">
        <f>D6</f>
        <v>106000</v>
      </c>
      <c r="G6" s="287">
        <v>1</v>
      </c>
      <c r="H6" s="286">
        <v>165000</v>
      </c>
    </row>
    <row r="7" spans="2:8" ht="12.75">
      <c r="B7" s="161" t="s">
        <v>7</v>
      </c>
      <c r="C7" s="162" t="s">
        <v>73</v>
      </c>
      <c r="D7" s="36">
        <v>1853200</v>
      </c>
      <c r="E7" s="36"/>
      <c r="F7" s="36">
        <f>D7</f>
        <v>1853200</v>
      </c>
      <c r="G7" s="287">
        <v>1</v>
      </c>
      <c r="H7" s="286">
        <f>F7</f>
        <v>1853200</v>
      </c>
    </row>
    <row r="8" spans="2:11" ht="12.75">
      <c r="B8" s="161" t="s">
        <v>9</v>
      </c>
      <c r="C8" s="162" t="s">
        <v>18</v>
      </c>
      <c r="D8" s="36">
        <v>3609000</v>
      </c>
      <c r="E8" s="36">
        <v>158762.71</v>
      </c>
      <c r="F8" s="36">
        <f>D8+E8</f>
        <v>3767762.71</v>
      </c>
      <c r="G8" s="287">
        <v>1</v>
      </c>
      <c r="H8" s="286">
        <v>3700000</v>
      </c>
      <c r="K8" s="223">
        <f>F8-H8</f>
        <v>67762.70999999996</v>
      </c>
    </row>
    <row r="9" spans="2:8" ht="12.75">
      <c r="B9" s="161" t="s">
        <v>11</v>
      </c>
      <c r="C9" s="162" t="s">
        <v>19</v>
      </c>
      <c r="D9" s="36">
        <v>181000</v>
      </c>
      <c r="E9" s="36"/>
      <c r="F9" s="288">
        <f>D9</f>
        <v>181000</v>
      </c>
      <c r="G9" s="289">
        <v>1</v>
      </c>
      <c r="H9" s="286">
        <v>200000</v>
      </c>
    </row>
    <row r="10" spans="2:8" ht="12.75">
      <c r="B10" s="164"/>
      <c r="C10" s="165" t="s">
        <v>12</v>
      </c>
      <c r="D10" s="41">
        <f>SUM(D5:D9)</f>
        <v>12925000</v>
      </c>
      <c r="E10" s="41">
        <f>SUM(E5:E9)</f>
        <v>158762.71</v>
      </c>
      <c r="F10" s="288">
        <f>SUM(F5:F9)</f>
        <v>13083762.71</v>
      </c>
      <c r="G10" s="290">
        <v>1</v>
      </c>
      <c r="H10" s="43">
        <f>SUM(H5:H9)</f>
        <v>13418200</v>
      </c>
    </row>
    <row r="11" spans="2:8" ht="12.75">
      <c r="B11" s="161" t="s">
        <v>13</v>
      </c>
      <c r="C11" s="162" t="s">
        <v>20</v>
      </c>
      <c r="D11" s="36"/>
      <c r="E11" s="36"/>
      <c r="F11" s="36"/>
      <c r="G11" s="167">
        <v>1</v>
      </c>
      <c r="H11" s="38"/>
    </row>
    <row r="12" spans="2:10" ht="12.75">
      <c r="B12" s="161" t="s">
        <v>15</v>
      </c>
      <c r="C12" s="162" t="s">
        <v>16</v>
      </c>
      <c r="D12" s="261" t="s">
        <v>153</v>
      </c>
      <c r="E12" s="36">
        <v>170030.44</v>
      </c>
      <c r="F12" s="36">
        <f>E12</f>
        <v>170030.44</v>
      </c>
      <c r="G12" s="167">
        <v>1</v>
      </c>
      <c r="H12" s="38">
        <f>F12*G12</f>
        <v>170030.44</v>
      </c>
      <c r="J12" s="100">
        <v>600771.74</v>
      </c>
    </row>
    <row r="13" spans="2:8" ht="12.75">
      <c r="B13" s="164"/>
      <c r="C13" s="165" t="s">
        <v>17</v>
      </c>
      <c r="D13" s="41"/>
      <c r="E13" s="41">
        <f>E12</f>
        <v>170030.44</v>
      </c>
      <c r="F13" s="41">
        <f>F12</f>
        <v>170030.44</v>
      </c>
      <c r="G13" s="168"/>
      <c r="H13" s="43">
        <f>SUM(H11:H12)</f>
        <v>170030.44</v>
      </c>
    </row>
    <row r="14" spans="2:8" ht="12.75">
      <c r="B14" s="164"/>
      <c r="C14" s="169" t="s">
        <v>1</v>
      </c>
      <c r="D14" s="170">
        <f>D10+D13</f>
        <v>12925000</v>
      </c>
      <c r="E14" s="170">
        <f>E10+E13</f>
        <v>328793.15</v>
      </c>
      <c r="F14" s="170">
        <f>F10+F13</f>
        <v>13253793.15</v>
      </c>
      <c r="G14" s="171"/>
      <c r="H14" s="172">
        <f>H10+H13</f>
        <v>13588230.44</v>
      </c>
    </row>
    <row r="15" spans="2:8" ht="12.75">
      <c r="B15" s="173"/>
      <c r="C15" s="49"/>
      <c r="D15" s="50"/>
      <c r="E15" s="50"/>
      <c r="F15" s="51"/>
      <c r="G15" s="49"/>
      <c r="H15" s="174"/>
    </row>
    <row r="16" spans="2:8" ht="21.75" thickBot="1">
      <c r="B16" s="563" t="s">
        <v>74</v>
      </c>
      <c r="C16" s="564"/>
      <c r="D16" s="279" t="s">
        <v>69</v>
      </c>
      <c r="E16" s="175" t="s">
        <v>107</v>
      </c>
      <c r="F16" s="279" t="str">
        <f>F4</f>
        <v>DEFI AYTO</v>
      </c>
      <c r="G16" s="280" t="s">
        <v>56</v>
      </c>
      <c r="H16" s="275" t="s">
        <v>2</v>
      </c>
    </row>
    <row r="17" spans="2:14" ht="13.5" thickBot="1">
      <c r="B17" s="158" t="s">
        <v>3</v>
      </c>
      <c r="C17" s="158" t="s">
        <v>4</v>
      </c>
      <c r="D17" s="54">
        <v>8346853.23</v>
      </c>
      <c r="E17" s="31">
        <f>155283.24+222750</f>
        <v>378033.24</v>
      </c>
      <c r="F17" s="55">
        <f aca="true" t="shared" si="0" ref="F17:F22">D17+E17</f>
        <v>8724886.47</v>
      </c>
      <c r="G17" s="116">
        <f>'[4]AJUSTES'!L22</f>
        <v>0.8681000000000001</v>
      </c>
      <c r="H17" s="33">
        <f>(G17*F17)+'[4]GASTO COMPUTABLE'!P49</f>
        <v>7825173.944607002</v>
      </c>
      <c r="I17" s="100" t="s">
        <v>161</v>
      </c>
      <c r="J17" s="291">
        <f>H17/F17</f>
        <v>0.8968797441105272</v>
      </c>
      <c r="L17" s="176" t="s">
        <v>108</v>
      </c>
      <c r="M17" s="177" t="s">
        <v>109</v>
      </c>
      <c r="N17" s="178" t="s">
        <v>110</v>
      </c>
    </row>
    <row r="18" spans="2:14" ht="12.75">
      <c r="B18" s="161" t="s">
        <v>5</v>
      </c>
      <c r="C18" s="161" t="s">
        <v>6</v>
      </c>
      <c r="D18" s="54">
        <v>3725179.77</v>
      </c>
      <c r="E18" s="36">
        <f>75194.6+55904.15</f>
        <v>131098.75</v>
      </c>
      <c r="F18" s="55">
        <f t="shared" si="0"/>
        <v>3856278.52</v>
      </c>
      <c r="G18" s="116">
        <f>'[4]AJUSTES'!L23</f>
        <v>0.8083333333333335</v>
      </c>
      <c r="H18" s="38">
        <f>F18*G18</f>
        <v>3117158.470333334</v>
      </c>
      <c r="L18" s="16" t="s">
        <v>111</v>
      </c>
      <c r="M18" s="179">
        <f>1-N18</f>
        <v>0.1318999999999999</v>
      </c>
      <c r="N18" s="180">
        <f>G17</f>
        <v>0.8681000000000001</v>
      </c>
    </row>
    <row r="19" spans="2:14" ht="12.75">
      <c r="B19" s="161" t="s">
        <v>7</v>
      </c>
      <c r="C19" s="161" t="s">
        <v>8</v>
      </c>
      <c r="D19" s="54">
        <v>6000</v>
      </c>
      <c r="E19" s="36"/>
      <c r="F19" s="55">
        <f t="shared" si="0"/>
        <v>6000</v>
      </c>
      <c r="G19" s="116">
        <f>'[4]AJUSTES'!L24</f>
        <v>0.38663333333333333</v>
      </c>
      <c r="H19" s="38">
        <v>6000</v>
      </c>
      <c r="L19" s="15" t="s">
        <v>112</v>
      </c>
      <c r="M19" s="181">
        <f>1-N19</f>
        <v>0.19166666666666654</v>
      </c>
      <c r="N19" s="182">
        <f>G18</f>
        <v>0.8083333333333335</v>
      </c>
    </row>
    <row r="20" spans="2:14" ht="12.75">
      <c r="B20" s="161" t="s">
        <v>9</v>
      </c>
      <c r="C20" s="161" t="s">
        <v>10</v>
      </c>
      <c r="D20" s="54">
        <v>410205</v>
      </c>
      <c r="E20" s="36">
        <v>-22034</v>
      </c>
      <c r="F20" s="55">
        <f t="shared" si="0"/>
        <v>388171</v>
      </c>
      <c r="G20" s="116">
        <f>'[4]AJUSTES'!L25</f>
        <v>0.7665000000000001</v>
      </c>
      <c r="H20" s="38">
        <f>F20*G20</f>
        <v>297533.0715</v>
      </c>
      <c r="L20" s="15" t="s">
        <v>113</v>
      </c>
      <c r="M20" s="181">
        <f>1-N20</f>
        <v>0.23349999999999993</v>
      </c>
      <c r="N20" s="182">
        <f>G20</f>
        <v>0.7665000000000001</v>
      </c>
    </row>
    <row r="21" spans="2:14" ht="13.5" thickBot="1">
      <c r="B21" s="161" t="s">
        <v>11</v>
      </c>
      <c r="C21" s="161"/>
      <c r="D21" s="54">
        <v>0</v>
      </c>
      <c r="E21" s="36"/>
      <c r="F21" s="55">
        <f t="shared" si="0"/>
        <v>0</v>
      </c>
      <c r="G21" s="119"/>
      <c r="H21" s="105">
        <f>F21*G21</f>
        <v>0</v>
      </c>
      <c r="L21" s="17" t="s">
        <v>114</v>
      </c>
      <c r="M21" s="183">
        <f>1-N21</f>
        <v>0</v>
      </c>
      <c r="N21" s="184">
        <f>G23</f>
        <v>1</v>
      </c>
    </row>
    <row r="22" spans="2:8" ht="12.75">
      <c r="B22" s="164"/>
      <c r="C22" s="164" t="s">
        <v>12</v>
      </c>
      <c r="D22" s="57">
        <f>SUM(D17:D21)</f>
        <v>12488238</v>
      </c>
      <c r="E22" s="41">
        <f>SUM(E17:E21)</f>
        <v>487097.99</v>
      </c>
      <c r="F22" s="58">
        <f t="shared" si="0"/>
        <v>12975335.99</v>
      </c>
      <c r="G22" s="120"/>
      <c r="H22" s="105">
        <f>SUM(H17:H21)</f>
        <v>11245865.486440334</v>
      </c>
    </row>
    <row r="23" spans="2:8" ht="12.75">
      <c r="B23" s="161" t="s">
        <v>13</v>
      </c>
      <c r="C23" s="161" t="s">
        <v>14</v>
      </c>
      <c r="D23" s="54">
        <v>436762</v>
      </c>
      <c r="E23" s="36">
        <f>1323356.91+1640685.29</f>
        <v>2964042.2</v>
      </c>
      <c r="F23" s="55">
        <f>'[4]analisis oct cap 6'!I92</f>
        <v>3400804.1999999993</v>
      </c>
      <c r="G23" s="292">
        <v>1</v>
      </c>
      <c r="H23" s="82">
        <f>F23*G23-'[4]analisis oct cap 6'!I31-'[4]analisis oct cap 6'!G111</f>
        <v>3044704.1999999993</v>
      </c>
    </row>
    <row r="24" spans="2:8" ht="12.75">
      <c r="B24" s="161" t="s">
        <v>15</v>
      </c>
      <c r="C24" s="161" t="s">
        <v>16</v>
      </c>
      <c r="D24" s="54"/>
      <c r="E24" s="112"/>
      <c r="F24" s="55">
        <f>E24</f>
        <v>0</v>
      </c>
      <c r="G24" s="37"/>
      <c r="H24" s="38">
        <v>0</v>
      </c>
    </row>
    <row r="25" spans="2:8" ht="12.75">
      <c r="B25" s="164"/>
      <c r="C25" s="164" t="s">
        <v>17</v>
      </c>
      <c r="D25" s="121">
        <f>D23+D24</f>
        <v>436762</v>
      </c>
      <c r="E25" s="121">
        <f>E23</f>
        <v>2964042.2</v>
      </c>
      <c r="F25" s="58">
        <f>SUM(F23:F24)</f>
        <v>3400804.1999999993</v>
      </c>
      <c r="G25" s="42"/>
      <c r="H25" s="43">
        <f>SUM(H23:H24)</f>
        <v>3044704.1999999993</v>
      </c>
    </row>
    <row r="26" spans="2:8" ht="12.75">
      <c r="B26" s="164"/>
      <c r="C26" s="169" t="s">
        <v>1</v>
      </c>
      <c r="D26" s="172">
        <f>D22+D25</f>
        <v>12925000</v>
      </c>
      <c r="E26" s="172">
        <f>E22+E25</f>
        <v>3451140.1900000004</v>
      </c>
      <c r="F26" s="185">
        <f>SUM(F22+F25)</f>
        <v>16376140.19</v>
      </c>
      <c r="G26" s="171"/>
      <c r="H26" s="172">
        <f>H22+H25</f>
        <v>14290569.686440334</v>
      </c>
    </row>
    <row r="27" spans="2:8" ht="12.75">
      <c r="B27" s="118"/>
      <c r="C27" s="19"/>
      <c r="D27" s="19"/>
      <c r="E27" s="19"/>
      <c r="F27" s="19"/>
      <c r="G27" s="19"/>
      <c r="H27" s="155"/>
    </row>
    <row r="28" spans="2:11" ht="19.5" customHeight="1">
      <c r="B28" s="565" t="s">
        <v>21</v>
      </c>
      <c r="C28" s="566"/>
      <c r="D28" s="186">
        <f>D14-D26</f>
        <v>0</v>
      </c>
      <c r="E28" s="186">
        <f>E14-E26</f>
        <v>-3122347.0400000005</v>
      </c>
      <c r="F28" s="186">
        <f>F14-F26</f>
        <v>-3122347.039999999</v>
      </c>
      <c r="G28" s="186"/>
      <c r="H28" s="187">
        <f>H14-H26</f>
        <v>-702339.2464403342</v>
      </c>
      <c r="K28" s="223">
        <f>H23-H36</f>
        <v>2084704.1999999993</v>
      </c>
    </row>
    <row r="30" spans="2:8" ht="12.75" customHeight="1">
      <c r="B30" s="565" t="s">
        <v>131</v>
      </c>
      <c r="C30" s="573"/>
      <c r="D30" s="152"/>
      <c r="E30" s="152"/>
      <c r="F30" s="153"/>
      <c r="G30" s="188" t="s">
        <v>136</v>
      </c>
      <c r="H30" s="188" t="s">
        <v>137</v>
      </c>
    </row>
    <row r="31" spans="2:8" ht="12.75" customHeight="1">
      <c r="B31" s="567">
        <v>1</v>
      </c>
      <c r="C31" s="189" t="s">
        <v>75</v>
      </c>
      <c r="D31" s="190"/>
      <c r="E31" s="191"/>
      <c r="F31" s="191"/>
      <c r="G31" s="192">
        <f>SUM(G32:G36)</f>
        <v>1815622.1195911954</v>
      </c>
      <c r="H31" s="192">
        <f>SUM(H32:H36)</f>
        <v>960000</v>
      </c>
    </row>
    <row r="32" spans="2:8" ht="12.75">
      <c r="B32" s="568"/>
      <c r="C32" s="193" t="s">
        <v>40</v>
      </c>
      <c r="D32" s="190" t="s">
        <v>115</v>
      </c>
      <c r="E32" s="148">
        <v>0.8755</v>
      </c>
      <c r="F32" s="149">
        <v>0.1245</v>
      </c>
      <c r="G32" s="194">
        <v>984067.477111021</v>
      </c>
      <c r="H32" s="194">
        <v>0</v>
      </c>
    </row>
    <row r="33" spans="2:8" ht="12.75">
      <c r="B33" s="568"/>
      <c r="C33" s="193" t="s">
        <v>41</v>
      </c>
      <c r="D33" s="190" t="s">
        <v>115</v>
      </c>
      <c r="E33" s="148">
        <v>0.8534600000000001</v>
      </c>
      <c r="F33" s="149">
        <v>0.1465399999999999</v>
      </c>
      <c r="G33" s="194">
        <v>521118.74248017446</v>
      </c>
      <c r="H33" s="194">
        <v>0</v>
      </c>
    </row>
    <row r="34" spans="2:8" ht="12.75">
      <c r="B34" s="568"/>
      <c r="C34" s="193" t="s">
        <v>104</v>
      </c>
      <c r="D34" s="190" t="s">
        <v>115</v>
      </c>
      <c r="E34" s="148">
        <v>1</v>
      </c>
      <c r="F34" s="149">
        <v>0</v>
      </c>
      <c r="G34" s="194">
        <v>0</v>
      </c>
      <c r="H34" s="194">
        <f>F20*G34</f>
        <v>0</v>
      </c>
    </row>
    <row r="35" spans="2:8" ht="12.75">
      <c r="B35" s="568"/>
      <c r="C35" s="193" t="s">
        <v>42</v>
      </c>
      <c r="D35" s="190" t="s">
        <v>115</v>
      </c>
      <c r="E35" s="148">
        <v>0.86862</v>
      </c>
      <c r="F35" s="149">
        <v>0.13138000000000005</v>
      </c>
      <c r="G35" s="194">
        <v>46639.900000000016</v>
      </c>
      <c r="H35" s="194">
        <v>0</v>
      </c>
    </row>
    <row r="36" spans="2:9" ht="12.75">
      <c r="B36" s="569"/>
      <c r="C36" s="193" t="s">
        <v>57</v>
      </c>
      <c r="D36" s="190"/>
      <c r="E36" s="148">
        <v>0.6</v>
      </c>
      <c r="F36" s="149">
        <v>0.4</v>
      </c>
      <c r="G36" s="195">
        <v>263796</v>
      </c>
      <c r="H36" s="293">
        <f>'[4]analisis oct cap 6'!I22+'[4]analisis oct cap 6'!I15+'[4]analisis oct cap 6'!I19+'[4]analisis oct cap 6'!I20</f>
        <v>960000</v>
      </c>
      <c r="I36" s="294" t="s">
        <v>162</v>
      </c>
    </row>
    <row r="37" spans="2:8" ht="12.75" customHeight="1">
      <c r="B37" s="567">
        <v>2</v>
      </c>
      <c r="C37" s="189" t="s">
        <v>76</v>
      </c>
      <c r="D37" s="196"/>
      <c r="E37" s="197"/>
      <c r="F37" s="198"/>
      <c r="G37" s="192">
        <v>0</v>
      </c>
      <c r="H37" s="192">
        <v>0</v>
      </c>
    </row>
    <row r="38" spans="2:8" ht="12.75">
      <c r="B38" s="568"/>
      <c r="C38" s="193" t="s">
        <v>77</v>
      </c>
      <c r="D38" s="199"/>
      <c r="E38" s="200"/>
      <c r="F38" s="201"/>
      <c r="G38" s="194">
        <v>0</v>
      </c>
      <c r="H38" s="194">
        <v>0</v>
      </c>
    </row>
    <row r="39" spans="2:8" ht="12.75">
      <c r="B39" s="569"/>
      <c r="C39" s="202" t="s">
        <v>78</v>
      </c>
      <c r="D39" s="203"/>
      <c r="E39" s="204"/>
      <c r="F39" s="205"/>
      <c r="G39" s="195">
        <v>0</v>
      </c>
      <c r="H39" s="195">
        <v>0</v>
      </c>
    </row>
    <row r="40" spans="2:8" ht="12.75" customHeight="1">
      <c r="B40" s="567">
        <v>3</v>
      </c>
      <c r="C40" s="189" t="s">
        <v>79</v>
      </c>
      <c r="D40" s="196"/>
      <c r="E40" s="197"/>
      <c r="F40" s="198"/>
      <c r="G40" s="206">
        <f>G42</f>
        <v>6564.24</v>
      </c>
      <c r="H40" s="206">
        <f>H42</f>
        <v>0</v>
      </c>
    </row>
    <row r="41" spans="2:8" ht="12.75">
      <c r="B41" s="568"/>
      <c r="C41" s="193" t="s">
        <v>80</v>
      </c>
      <c r="D41" s="199"/>
      <c r="E41" s="200"/>
      <c r="F41" s="201"/>
      <c r="G41" s="194">
        <v>0</v>
      </c>
      <c r="H41" s="194">
        <v>0</v>
      </c>
    </row>
    <row r="42" spans="2:8" ht="11.25" customHeight="1">
      <c r="B42" s="569"/>
      <c r="C42" s="202" t="s">
        <v>81</v>
      </c>
      <c r="D42" s="203"/>
      <c r="E42" s="204"/>
      <c r="F42" s="205"/>
      <c r="G42" s="195">
        <v>6564.24</v>
      </c>
      <c r="H42" s="195">
        <v>0</v>
      </c>
    </row>
    <row r="43" spans="2:8" ht="12.75" customHeight="1">
      <c r="B43" s="567">
        <v>4</v>
      </c>
      <c r="C43" s="207" t="s">
        <v>82</v>
      </c>
      <c r="D43" s="208"/>
      <c r="E43" s="209"/>
      <c r="F43" s="210"/>
      <c r="G43" s="192">
        <f>SUM(G44:G45)</f>
        <v>-25000</v>
      </c>
      <c r="H43" s="192">
        <f>SUM(H44:H45)</f>
        <v>-42211.82000000001</v>
      </c>
    </row>
    <row r="44" spans="2:8" ht="12.75">
      <c r="B44" s="568"/>
      <c r="C44" s="193" t="s">
        <v>163</v>
      </c>
      <c r="D44" s="208"/>
      <c r="E44" s="209"/>
      <c r="F44" s="210"/>
      <c r="G44" s="194">
        <v>100000</v>
      </c>
      <c r="H44" s="89">
        <v>150000</v>
      </c>
    </row>
    <row r="45" spans="2:8" ht="12.75">
      <c r="B45" s="569"/>
      <c r="C45" s="202" t="s">
        <v>164</v>
      </c>
      <c r="D45" s="211"/>
      <c r="E45" s="212"/>
      <c r="F45" s="213"/>
      <c r="G45" s="194">
        <v>-125000</v>
      </c>
      <c r="H45" s="89">
        <v>-192211.82</v>
      </c>
    </row>
    <row r="46" spans="2:8" ht="12.75" customHeight="1">
      <c r="B46" s="567">
        <v>5</v>
      </c>
      <c r="C46" s="189" t="s">
        <v>83</v>
      </c>
      <c r="D46" s="214"/>
      <c r="E46" s="215"/>
      <c r="F46" s="216"/>
      <c r="G46" s="206">
        <v>-582040.692</v>
      </c>
      <c r="H46" s="206">
        <f>SUM(H47:H49)</f>
        <v>100029.2966666671</v>
      </c>
    </row>
    <row r="47" spans="2:10" ht="12.75">
      <c r="B47" s="568"/>
      <c r="C47" s="193" t="s">
        <v>40</v>
      </c>
      <c r="D47" s="199"/>
      <c r="E47" s="200"/>
      <c r="F47" s="201"/>
      <c r="G47" s="194">
        <v>-692872.6979999999</v>
      </c>
      <c r="H47" s="194">
        <f>'[4]AJUSTES'!L10-'[4]ESTABILIDAD PPTARIA 2019'!H5</f>
        <v>-549686</v>
      </c>
      <c r="I47" s="217" t="s">
        <v>40</v>
      </c>
      <c r="J47" s="218">
        <f>H47+H51</f>
        <v>27882.263333333307</v>
      </c>
    </row>
    <row r="48" spans="2:10" ht="12.75">
      <c r="B48" s="568"/>
      <c r="C48" s="193" t="s">
        <v>41</v>
      </c>
      <c r="D48" s="199"/>
      <c r="E48" s="200"/>
      <c r="F48" s="201"/>
      <c r="G48" s="194">
        <v>36336.61800000002</v>
      </c>
      <c r="H48" s="194">
        <f>'[4]AJUSTES'!L11-'[4]ESTABILIDAD PPTARIA 2019'!H6</f>
        <v>68411.44999999998</v>
      </c>
      <c r="I48" s="219" t="s">
        <v>41</v>
      </c>
      <c r="J48" s="220">
        <f>H48+H52</f>
        <v>69325.29999999999</v>
      </c>
    </row>
    <row r="49" spans="2:10" ht="12.75">
      <c r="B49" s="568"/>
      <c r="C49" s="193" t="s">
        <v>134</v>
      </c>
      <c r="D49" s="199"/>
      <c r="E49" s="200"/>
      <c r="F49" s="201"/>
      <c r="G49" s="194">
        <v>74495.3879999998</v>
      </c>
      <c r="H49" s="194">
        <f>'[4]AJUSTES'!L12-'[4]ESTABILIDAD PPTARIA 2019'!H7</f>
        <v>581303.8466666671</v>
      </c>
      <c r="I49" s="221" t="s">
        <v>134</v>
      </c>
      <c r="J49" s="222">
        <f>H49+H53</f>
        <v>701647.2733333338</v>
      </c>
    </row>
    <row r="50" spans="2:8" ht="12.75" customHeight="1">
      <c r="B50" s="567">
        <v>6</v>
      </c>
      <c r="C50" s="189" t="s">
        <v>84</v>
      </c>
      <c r="D50" s="196"/>
      <c r="E50" s="197"/>
      <c r="F50" s="198"/>
      <c r="G50" s="206">
        <v>700238.2494999999</v>
      </c>
      <c r="H50" s="206">
        <f>SUM(H51:H53)</f>
        <v>698825.5399999999</v>
      </c>
    </row>
    <row r="51" spans="2:8" ht="12.75">
      <c r="B51" s="568"/>
      <c r="C51" s="193" t="s">
        <v>40</v>
      </c>
      <c r="D51" s="199"/>
      <c r="E51" s="200"/>
      <c r="F51" s="201"/>
      <c r="G51" s="194">
        <v>544301.578</v>
      </c>
      <c r="H51" s="194">
        <f>'[4]AJUSTES'!L15</f>
        <v>577568.2633333333</v>
      </c>
    </row>
    <row r="52" spans="2:8" ht="12.75">
      <c r="B52" s="568"/>
      <c r="C52" s="193" t="s">
        <v>165</v>
      </c>
      <c r="D52" s="199"/>
      <c r="E52" s="200"/>
      <c r="F52" s="201"/>
      <c r="G52" s="194">
        <v>1944.0639999999999</v>
      </c>
      <c r="H52" s="194">
        <f>'[4]AJUSTES'!L16</f>
        <v>913.85</v>
      </c>
    </row>
    <row r="53" spans="2:8" ht="12.75">
      <c r="B53" s="568"/>
      <c r="C53" s="193" t="s">
        <v>134</v>
      </c>
      <c r="D53" s="199"/>
      <c r="E53" s="200"/>
      <c r="F53" s="201"/>
      <c r="G53" s="194">
        <v>153992.60749999998</v>
      </c>
      <c r="H53" s="194">
        <f>'[4]AJUSTES'!L17</f>
        <v>120343.42666666665</v>
      </c>
    </row>
    <row r="54" spans="2:8" ht="12.75" customHeight="1" hidden="1">
      <c r="B54" s="567">
        <v>7</v>
      </c>
      <c r="C54" s="189" t="s">
        <v>85</v>
      </c>
      <c r="D54" s="196"/>
      <c r="E54" s="197"/>
      <c r="F54" s="198"/>
      <c r="G54" s="206">
        <f>G57+G56+G55</f>
        <v>0</v>
      </c>
      <c r="H54" s="206">
        <f>H57+H56+H55</f>
        <v>0</v>
      </c>
    </row>
    <row r="55" spans="2:8" ht="12.75" hidden="1">
      <c r="B55" s="568"/>
      <c r="C55" s="193" t="s">
        <v>116</v>
      </c>
      <c r="D55" s="199"/>
      <c r="E55" s="200"/>
      <c r="F55" s="201"/>
      <c r="G55" s="194">
        <v>0</v>
      </c>
      <c r="H55" s="194">
        <v>0</v>
      </c>
    </row>
    <row r="56" spans="2:8" ht="12.75" hidden="1">
      <c r="B56" s="568"/>
      <c r="C56" s="193" t="s">
        <v>117</v>
      </c>
      <c r="D56" s="199"/>
      <c r="E56" s="200"/>
      <c r="F56" s="201"/>
      <c r="G56" s="194">
        <v>0</v>
      </c>
      <c r="H56" s="194">
        <v>0</v>
      </c>
    </row>
    <row r="57" spans="2:8" ht="12.75" hidden="1">
      <c r="B57" s="568"/>
      <c r="C57" s="193" t="s">
        <v>118</v>
      </c>
      <c r="D57" s="199"/>
      <c r="E57" s="200"/>
      <c r="F57" s="201"/>
      <c r="G57" s="194">
        <v>0</v>
      </c>
      <c r="H57" s="194">
        <v>0</v>
      </c>
    </row>
    <row r="58" spans="2:8" ht="12.75" hidden="1">
      <c r="B58" s="569"/>
      <c r="C58" s="193"/>
      <c r="D58" s="203"/>
      <c r="E58" s="204"/>
      <c r="F58" s="205"/>
      <c r="G58" s="194"/>
      <c r="H58" s="194"/>
    </row>
    <row r="59" spans="2:8" ht="12.75" hidden="1">
      <c r="B59" s="558">
        <v>8</v>
      </c>
      <c r="C59" s="158" t="s">
        <v>86</v>
      </c>
      <c r="D59" s="199"/>
      <c r="E59" s="200"/>
      <c r="F59" s="201"/>
      <c r="G59" s="206">
        <v>0</v>
      </c>
      <c r="H59" s="206">
        <v>0</v>
      </c>
    </row>
    <row r="60" spans="2:8" ht="12.75" hidden="1">
      <c r="B60" s="559"/>
      <c r="C60" s="224"/>
      <c r="D60" s="199"/>
      <c r="E60" s="200"/>
      <c r="F60" s="201"/>
      <c r="G60" s="194"/>
      <c r="H60" s="194"/>
    </row>
    <row r="61" spans="2:8" ht="9" customHeight="1" hidden="1">
      <c r="B61" s="560"/>
      <c r="C61" s="224"/>
      <c r="D61" s="208"/>
      <c r="E61" s="209"/>
      <c r="F61" s="210"/>
      <c r="G61" s="195"/>
      <c r="H61" s="195"/>
    </row>
    <row r="62" spans="2:8" ht="12.75" hidden="1">
      <c r="B62" s="558">
        <v>9</v>
      </c>
      <c r="C62" s="225" t="s">
        <v>121</v>
      </c>
      <c r="D62" s="215"/>
      <c r="E62" s="215"/>
      <c r="F62" s="216"/>
      <c r="G62" s="226">
        <v>0</v>
      </c>
      <c r="H62" s="226">
        <v>0</v>
      </c>
    </row>
    <row r="63" spans="2:8" ht="12.75" hidden="1">
      <c r="B63" s="560"/>
      <c r="C63" s="227"/>
      <c r="D63" s="209"/>
      <c r="E63" s="209"/>
      <c r="F63" s="210"/>
      <c r="G63" s="194"/>
      <c r="H63" s="194"/>
    </row>
    <row r="64" spans="2:8" ht="12.75" hidden="1">
      <c r="B64" s="561">
        <v>10</v>
      </c>
      <c r="C64" s="225" t="s">
        <v>122</v>
      </c>
      <c r="D64" s="215"/>
      <c r="E64" s="215"/>
      <c r="F64" s="215"/>
      <c r="G64" s="226">
        <v>0</v>
      </c>
      <c r="H64" s="226">
        <v>0</v>
      </c>
    </row>
    <row r="65" spans="2:8" ht="12.75" hidden="1">
      <c r="B65" s="562"/>
      <c r="C65" s="228"/>
      <c r="D65" s="212"/>
      <c r="E65" s="212"/>
      <c r="F65" s="212"/>
      <c r="G65" s="195"/>
      <c r="H65" s="195"/>
    </row>
    <row r="66" spans="2:8" ht="12.75" hidden="1">
      <c r="B66" s="561">
        <v>11</v>
      </c>
      <c r="C66" s="225" t="s">
        <v>123</v>
      </c>
      <c r="D66" s="215"/>
      <c r="E66" s="215"/>
      <c r="F66" s="215"/>
      <c r="G66" s="226">
        <v>0</v>
      </c>
      <c r="H66" s="226">
        <v>0</v>
      </c>
    </row>
    <row r="67" spans="2:8" ht="12.75" hidden="1">
      <c r="B67" s="562"/>
      <c r="C67" s="228"/>
      <c r="D67" s="212"/>
      <c r="E67" s="212"/>
      <c r="F67" s="212"/>
      <c r="G67" s="195"/>
      <c r="H67" s="195"/>
    </row>
    <row r="68" spans="2:8" ht="12.75" hidden="1">
      <c r="B68" s="277">
        <v>12</v>
      </c>
      <c r="C68" s="225" t="s">
        <v>124</v>
      </c>
      <c r="D68" s="215"/>
      <c r="E68" s="215"/>
      <c r="F68" s="215"/>
      <c r="G68" s="226">
        <v>0</v>
      </c>
      <c r="H68" s="226">
        <v>0</v>
      </c>
    </row>
    <row r="69" spans="2:8" ht="12.75" hidden="1">
      <c r="B69" s="278"/>
      <c r="C69" s="228"/>
      <c r="D69" s="212"/>
      <c r="E69" s="212"/>
      <c r="F69" s="212"/>
      <c r="G69" s="195"/>
      <c r="H69" s="195"/>
    </row>
    <row r="70" spans="2:8" ht="12.75" hidden="1">
      <c r="B70" s="277">
        <v>13</v>
      </c>
      <c r="C70" s="225" t="s">
        <v>132</v>
      </c>
      <c r="D70" s="215"/>
      <c r="E70" s="215"/>
      <c r="F70" s="215"/>
      <c r="G70" s="226">
        <v>0</v>
      </c>
      <c r="H70" s="226">
        <v>0</v>
      </c>
    </row>
    <row r="71" spans="2:8" ht="12.75" hidden="1">
      <c r="B71" s="278"/>
      <c r="C71" s="228"/>
      <c r="D71" s="212"/>
      <c r="E71" s="212"/>
      <c r="F71" s="212"/>
      <c r="G71" s="195"/>
      <c r="H71" s="195"/>
    </row>
    <row r="72" spans="2:8" ht="12.75" hidden="1">
      <c r="B72" s="277">
        <v>14</v>
      </c>
      <c r="C72" s="225" t="s">
        <v>125</v>
      </c>
      <c r="D72" s="215"/>
      <c r="E72" s="215"/>
      <c r="F72" s="215"/>
      <c r="G72" s="226">
        <v>0</v>
      </c>
      <c r="H72" s="226">
        <v>0</v>
      </c>
    </row>
    <row r="73" spans="2:8" ht="12.75" hidden="1">
      <c r="B73" s="278"/>
      <c r="C73" s="228"/>
      <c r="D73" s="212"/>
      <c r="E73" s="212"/>
      <c r="F73" s="212"/>
      <c r="G73" s="195"/>
      <c r="H73" s="195"/>
    </row>
    <row r="74" spans="2:8" ht="12.75" hidden="1">
      <c r="B74" s="277">
        <v>15</v>
      </c>
      <c r="C74" s="225" t="s">
        <v>126</v>
      </c>
      <c r="D74" s="215"/>
      <c r="E74" s="215"/>
      <c r="F74" s="215"/>
      <c r="G74" s="226">
        <v>0</v>
      </c>
      <c r="H74" s="226">
        <v>0</v>
      </c>
    </row>
    <row r="75" spans="2:8" ht="12.75" hidden="1">
      <c r="B75" s="278"/>
      <c r="C75" s="228"/>
      <c r="D75" s="212"/>
      <c r="E75" s="212"/>
      <c r="F75" s="212"/>
      <c r="G75" s="195"/>
      <c r="H75" s="195"/>
    </row>
    <row r="76" spans="2:8" ht="12.75" hidden="1">
      <c r="B76" s="277">
        <v>16</v>
      </c>
      <c r="C76" s="225" t="s">
        <v>127</v>
      </c>
      <c r="D76" s="215"/>
      <c r="E76" s="215"/>
      <c r="F76" s="215"/>
      <c r="G76" s="226">
        <v>0</v>
      </c>
      <c r="H76" s="226">
        <v>0</v>
      </c>
    </row>
    <row r="77" spans="2:8" ht="12.75" hidden="1">
      <c r="B77" s="278"/>
      <c r="C77" s="228"/>
      <c r="D77" s="212"/>
      <c r="E77" s="212"/>
      <c r="F77" s="212"/>
      <c r="G77" s="195"/>
      <c r="H77" s="195"/>
    </row>
    <row r="78" spans="2:8" ht="12.75" hidden="1">
      <c r="B78" s="277">
        <v>17</v>
      </c>
      <c r="C78" s="225" t="s">
        <v>128</v>
      </c>
      <c r="D78" s="215"/>
      <c r="E78" s="215"/>
      <c r="F78" s="215"/>
      <c r="G78" s="226">
        <v>0</v>
      </c>
      <c r="H78" s="226">
        <v>0</v>
      </c>
    </row>
    <row r="79" spans="2:8" ht="12.75" hidden="1">
      <c r="B79" s="278"/>
      <c r="C79" s="228"/>
      <c r="D79" s="212"/>
      <c r="E79" s="212"/>
      <c r="F79" s="212"/>
      <c r="G79" s="195"/>
      <c r="H79" s="195"/>
    </row>
    <row r="80" spans="2:8" ht="12.75" hidden="1">
      <c r="B80" s="277">
        <v>18</v>
      </c>
      <c r="C80" s="225" t="s">
        <v>129</v>
      </c>
      <c r="D80" s="215"/>
      <c r="E80" s="215"/>
      <c r="F80" s="215"/>
      <c r="G80" s="226">
        <v>0</v>
      </c>
      <c r="H80" s="226">
        <v>0</v>
      </c>
    </row>
    <row r="81" spans="2:8" ht="12.75" hidden="1">
      <c r="B81" s="278"/>
      <c r="C81" s="228"/>
      <c r="D81" s="212"/>
      <c r="E81" s="212"/>
      <c r="F81" s="212"/>
      <c r="G81" s="195"/>
      <c r="H81" s="195"/>
    </row>
    <row r="82" spans="2:8" ht="12.75" hidden="1">
      <c r="B82" s="277">
        <v>19</v>
      </c>
      <c r="C82" s="225" t="s">
        <v>130</v>
      </c>
      <c r="D82" s="215"/>
      <c r="E82" s="215"/>
      <c r="F82" s="215"/>
      <c r="G82" s="226">
        <v>0</v>
      </c>
      <c r="H82" s="226">
        <v>0</v>
      </c>
    </row>
    <row r="83" spans="2:8" ht="12.75" hidden="1">
      <c r="B83" s="276"/>
      <c r="C83" s="228"/>
      <c r="D83" s="212"/>
      <c r="E83" s="212"/>
      <c r="F83" s="212"/>
      <c r="G83" s="195"/>
      <c r="H83" s="195"/>
    </row>
    <row r="84" spans="2:8" ht="12.75" customHeight="1">
      <c r="B84" s="563" t="s">
        <v>53</v>
      </c>
      <c r="C84" s="564"/>
      <c r="D84" s="229"/>
      <c r="E84" s="229"/>
      <c r="F84" s="229"/>
      <c r="G84" s="230">
        <f>SUM(G31+G37+G40+G43+G46+G50+G54+G59+G62+G64+G66+G68+G70+G72+G74+G76+G78+G80+G82)</f>
        <v>1915383.9170911952</v>
      </c>
      <c r="H84" s="230">
        <f>SUM(H31+H37+H40+H43+H46+H50+H54+H59+H62+H64+H66+H68+H70+H72+H74+H76+H78+H80+H82)</f>
        <v>1716643.016666667</v>
      </c>
    </row>
    <row r="85" spans="2:8" ht="25.5" customHeight="1">
      <c r="B85" s="565" t="s">
        <v>22</v>
      </c>
      <c r="C85" s="566"/>
      <c r="D85" s="281"/>
      <c r="E85" s="282"/>
      <c r="F85" s="282"/>
      <c r="G85" s="231">
        <f>G29+G84</f>
        <v>1915383.9170911952</v>
      </c>
      <c r="H85" s="231">
        <f>H28+H84</f>
        <v>1014303.7702263328</v>
      </c>
    </row>
    <row r="86" spans="2:7" ht="12.75">
      <c r="B86" s="79"/>
      <c r="C86" s="80"/>
      <c r="D86" s="80"/>
      <c r="E86" s="80"/>
      <c r="F86" s="80"/>
      <c r="G86" s="232"/>
    </row>
    <row r="87" ht="12.75">
      <c r="H87" s="263"/>
    </row>
  </sheetData>
  <sheetProtection/>
  <mergeCells count="18">
    <mergeCell ref="B2:H2"/>
    <mergeCell ref="B4:C4"/>
    <mergeCell ref="B16:C16"/>
    <mergeCell ref="B28:C28"/>
    <mergeCell ref="B30:C30"/>
    <mergeCell ref="B31:B36"/>
    <mergeCell ref="B37:B39"/>
    <mergeCell ref="B40:B42"/>
    <mergeCell ref="B43:B45"/>
    <mergeCell ref="B46:B49"/>
    <mergeCell ref="B50:B53"/>
    <mergeCell ref="B54:B58"/>
    <mergeCell ref="B59:B61"/>
    <mergeCell ref="B62:B63"/>
    <mergeCell ref="B64:B65"/>
    <mergeCell ref="B66:B67"/>
    <mergeCell ref="B84:C84"/>
    <mergeCell ref="B85:C85"/>
  </mergeCells>
  <conditionalFormatting sqref="G85:H85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0.9921875" style="100" customWidth="1"/>
    <col min="2" max="2" width="9.140625" style="21" customWidth="1"/>
    <col min="3" max="3" width="21.28125" style="21" customWidth="1"/>
    <col min="4" max="5" width="13.57421875" style="21" customWidth="1"/>
    <col min="6" max="6" width="14.00390625" style="21" customWidth="1"/>
    <col min="7" max="7" width="11.8515625" style="21" customWidth="1"/>
    <col min="8" max="8" width="9.00390625" style="21" customWidth="1"/>
    <col min="9" max="16384" width="11.421875" style="100" customWidth="1"/>
  </cols>
  <sheetData>
    <row r="1" ht="12.75">
      <c r="H1" s="100"/>
    </row>
    <row r="2" ht="12.75">
      <c r="H2" s="100"/>
    </row>
    <row r="3" ht="12.75" hidden="1">
      <c r="H3" s="100"/>
    </row>
    <row r="4" ht="12.75" hidden="1">
      <c r="H4" s="100"/>
    </row>
    <row r="5" ht="12.75" hidden="1">
      <c r="I5" s="21"/>
    </row>
    <row r="6" spans="2:7" ht="38.25" customHeight="1">
      <c r="B6" s="579" t="s">
        <v>39</v>
      </c>
      <c r="C6" s="580"/>
      <c r="D6" s="580"/>
      <c r="E6" s="580"/>
      <c r="F6" s="580"/>
      <c r="G6" s="581"/>
    </row>
    <row r="7" spans="3:8" ht="12.75">
      <c r="C7" s="101"/>
      <c r="D7" s="101"/>
      <c r="E7" s="101"/>
      <c r="F7" s="101"/>
      <c r="G7" s="256"/>
      <c r="H7" s="20"/>
    </row>
    <row r="8" spans="3:7" ht="12.75">
      <c r="C8" s="257"/>
      <c r="D8" s="317">
        <v>2020</v>
      </c>
      <c r="E8" s="318">
        <v>2019</v>
      </c>
      <c r="F8" s="318">
        <v>2018</v>
      </c>
      <c r="G8" s="319" t="s">
        <v>48</v>
      </c>
    </row>
    <row r="9" spans="2:8" ht="12.75">
      <c r="B9" s="574" t="s">
        <v>0</v>
      </c>
      <c r="C9" s="322" t="s">
        <v>58</v>
      </c>
      <c r="D9" s="258"/>
      <c r="E9" s="258"/>
      <c r="F9" s="258"/>
      <c r="G9" s="260">
        <v>3</v>
      </c>
      <c r="H9" s="13"/>
    </row>
    <row r="10" spans="2:7" ht="12.75">
      <c r="B10" s="575"/>
      <c r="C10" s="21" t="s">
        <v>43</v>
      </c>
      <c r="D10" s="295">
        <v>3025842.09</v>
      </c>
      <c r="E10" s="296">
        <v>3223868.51</v>
      </c>
      <c r="F10" s="296">
        <v>3536465.42</v>
      </c>
      <c r="G10" s="297">
        <f>SUM(D10:F10)/$G$9</f>
        <v>3262058.6733333333</v>
      </c>
    </row>
    <row r="11" spans="2:7" ht="12.75">
      <c r="B11" s="575"/>
      <c r="C11" s="21" t="s">
        <v>51</v>
      </c>
      <c r="D11" s="298">
        <v>98741.96</v>
      </c>
      <c r="E11" s="123">
        <v>84717.66</v>
      </c>
      <c r="F11" s="123">
        <v>94255.98</v>
      </c>
      <c r="G11" s="297">
        <f>SUM(D11:F11)/$G$9</f>
        <v>92571.86666666665</v>
      </c>
    </row>
    <row r="12" spans="2:7" ht="12.75">
      <c r="B12" s="575"/>
      <c r="C12" s="21" t="s">
        <v>59</v>
      </c>
      <c r="D12" s="298">
        <v>1447475.3</v>
      </c>
      <c r="E12" s="123">
        <v>1987028.26</v>
      </c>
      <c r="F12" s="123">
        <v>1626864.71</v>
      </c>
      <c r="G12" s="297">
        <f>SUM(D12:F12)/$G$9</f>
        <v>1687122.7566666666</v>
      </c>
    </row>
    <row r="13" spans="2:7" ht="12.75">
      <c r="B13" s="575"/>
      <c r="D13" s="299"/>
      <c r="E13" s="300"/>
      <c r="F13" s="300"/>
      <c r="G13" s="316"/>
    </row>
    <row r="14" spans="2:7" ht="12.75">
      <c r="B14" s="575"/>
      <c r="C14" s="259" t="s">
        <v>60</v>
      </c>
      <c r="D14" s="258"/>
      <c r="E14" s="258"/>
      <c r="F14" s="258"/>
      <c r="G14" s="312"/>
    </row>
    <row r="15" spans="2:7" ht="12.75">
      <c r="B15" s="575"/>
      <c r="C15" s="555" t="s">
        <v>43</v>
      </c>
      <c r="D15" s="295">
        <v>335907.88</v>
      </c>
      <c r="E15" s="296">
        <v>300973.54</v>
      </c>
      <c r="F15" s="296">
        <v>162226.13</v>
      </c>
      <c r="G15" s="311">
        <f>SUM(D15:F15)/$G$9</f>
        <v>266369.1833333333</v>
      </c>
    </row>
    <row r="16" spans="2:7" ht="12.75">
      <c r="B16" s="575"/>
      <c r="C16" s="556" t="s">
        <v>51</v>
      </c>
      <c r="D16" s="298">
        <v>9410.51</v>
      </c>
      <c r="E16" s="123">
        <v>17561.31</v>
      </c>
      <c r="F16" s="123">
        <v>20734.35</v>
      </c>
      <c r="G16" s="311">
        <f>SUM(D16:F16)/$G$9</f>
        <v>15902.056666666665</v>
      </c>
    </row>
    <row r="17" spans="2:7" ht="12.75">
      <c r="B17" s="576"/>
      <c r="C17" s="557" t="s">
        <v>59</v>
      </c>
      <c r="D17" s="314">
        <v>136223.71</v>
      </c>
      <c r="E17" s="315">
        <v>171253.64</v>
      </c>
      <c r="F17" s="315">
        <v>465167.23</v>
      </c>
      <c r="G17" s="311">
        <f>SUM(D17:F17)/$G$9</f>
        <v>257548.19333333333</v>
      </c>
    </row>
    <row r="18" spans="2:7" ht="12.75">
      <c r="B18" s="5"/>
      <c r="G18" s="102"/>
    </row>
    <row r="19" spans="2:8" s="14" customFormat="1" ht="12.75">
      <c r="B19" s="5"/>
      <c r="C19" s="259"/>
      <c r="D19" s="317">
        <v>2020</v>
      </c>
      <c r="E19" s="318">
        <v>2019</v>
      </c>
      <c r="F19" s="318">
        <v>2018</v>
      </c>
      <c r="G19" s="577" t="s">
        <v>150</v>
      </c>
      <c r="H19" s="578"/>
    </row>
    <row r="20" spans="2:8" ht="13.5" customHeight="1">
      <c r="B20" s="574" t="s">
        <v>23</v>
      </c>
      <c r="C20" s="258" t="s">
        <v>61</v>
      </c>
      <c r="D20" s="258"/>
      <c r="E20" s="258"/>
      <c r="F20" s="258"/>
      <c r="G20" s="258" t="s">
        <v>87</v>
      </c>
      <c r="H20" s="259" t="s">
        <v>88</v>
      </c>
    </row>
    <row r="21" spans="2:8" ht="12.75">
      <c r="B21" s="575"/>
      <c r="C21" s="320" t="s">
        <v>43</v>
      </c>
      <c r="D21" s="302">
        <v>0.9914</v>
      </c>
      <c r="E21" s="303">
        <v>0.9978</v>
      </c>
      <c r="F21" s="303">
        <v>0.9936</v>
      </c>
      <c r="G21" s="302">
        <f aca="true" t="shared" si="0" ref="G21:G26">SUM(D21:F21)/3</f>
        <v>0.9942666666666667</v>
      </c>
      <c r="H21" s="308">
        <f aca="true" t="shared" si="1" ref="H21:H26">G21-1</f>
        <v>-0.005733333333333257</v>
      </c>
    </row>
    <row r="22" spans="2:8" ht="12.75">
      <c r="B22" s="575"/>
      <c r="C22" s="321" t="s">
        <v>51</v>
      </c>
      <c r="D22" s="304">
        <v>0.626</v>
      </c>
      <c r="E22" s="103">
        <v>0.942</v>
      </c>
      <c r="F22" s="103">
        <v>0.9694</v>
      </c>
      <c r="G22" s="302">
        <f t="shared" si="0"/>
        <v>0.8458</v>
      </c>
      <c r="H22" s="309">
        <f t="shared" si="1"/>
        <v>-0.1542</v>
      </c>
    </row>
    <row r="23" spans="2:8" ht="12.75">
      <c r="B23" s="575"/>
      <c r="C23" s="321" t="s">
        <v>59</v>
      </c>
      <c r="D23" s="304">
        <v>0</v>
      </c>
      <c r="E23" s="103">
        <v>0.6117</v>
      </c>
      <c r="F23" s="103">
        <v>0.8229</v>
      </c>
      <c r="G23" s="302">
        <f t="shared" si="0"/>
        <v>0.4782</v>
      </c>
      <c r="H23" s="309">
        <f t="shared" si="1"/>
        <v>-0.5218</v>
      </c>
    </row>
    <row r="24" spans="2:8" ht="12.75">
      <c r="B24" s="575"/>
      <c r="C24" s="321" t="s">
        <v>38</v>
      </c>
      <c r="D24" s="304">
        <v>0.9323</v>
      </c>
      <c r="E24" s="103">
        <v>0.9909</v>
      </c>
      <c r="F24" s="103">
        <v>0.9733</v>
      </c>
      <c r="G24" s="302">
        <f t="shared" si="0"/>
        <v>0.9655</v>
      </c>
      <c r="H24" s="309">
        <f t="shared" si="1"/>
        <v>-0.034499999999999975</v>
      </c>
    </row>
    <row r="25" spans="2:8" ht="12.75">
      <c r="B25" s="575"/>
      <c r="C25" s="321" t="s">
        <v>151</v>
      </c>
      <c r="D25" s="305">
        <v>0</v>
      </c>
      <c r="G25" s="302">
        <f t="shared" si="0"/>
        <v>0</v>
      </c>
      <c r="H25" s="309">
        <f t="shared" si="1"/>
        <v>-1</v>
      </c>
    </row>
    <row r="26" spans="2:8" ht="12.75">
      <c r="B26" s="576"/>
      <c r="C26" s="316" t="s">
        <v>135</v>
      </c>
      <c r="D26" s="306">
        <v>0.3267</v>
      </c>
      <c r="E26" s="307">
        <v>0.4488</v>
      </c>
      <c r="F26" s="307">
        <v>0.797</v>
      </c>
      <c r="G26" s="302">
        <f t="shared" si="0"/>
        <v>0.5241666666666667</v>
      </c>
      <c r="H26" s="310">
        <f t="shared" si="1"/>
        <v>-0.47583333333333333</v>
      </c>
    </row>
    <row r="32" ht="14.25" customHeight="1"/>
  </sheetData>
  <sheetProtection/>
  <mergeCells count="4">
    <mergeCell ref="B9:B17"/>
    <mergeCell ref="G19:H19"/>
    <mergeCell ref="B20:B26"/>
    <mergeCell ref="B6:G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88"/>
  <sheetViews>
    <sheetView tabSelected="1" zoomScalePageLayoutView="0" workbookViewId="0" topLeftCell="A34">
      <selection activeCell="K84" sqref="K84"/>
    </sheetView>
  </sheetViews>
  <sheetFormatPr defaultColWidth="9.140625" defaultRowHeight="12.75"/>
  <cols>
    <col min="1" max="1" width="2.7109375" style="22" customWidth="1"/>
    <col min="2" max="2" width="12.57421875" style="22" customWidth="1"/>
    <col min="3" max="3" width="25.7109375" style="22" customWidth="1"/>
    <col min="4" max="4" width="14.140625" style="22" customWidth="1"/>
    <col min="5" max="5" width="12.421875" style="22" customWidth="1"/>
    <col min="6" max="6" width="9.57421875" style="22" customWidth="1"/>
    <col min="7" max="7" width="18.421875" style="22" customWidth="1"/>
    <col min="8" max="8" width="16.00390625" style="22" customWidth="1"/>
    <col min="9" max="10" width="11.28125" style="22" bestFit="1" customWidth="1"/>
    <col min="11" max="12" width="9.140625" style="22" customWidth="1"/>
    <col min="13" max="13" width="8.28125" style="22" customWidth="1"/>
    <col min="14" max="14" width="8.00390625" style="22" customWidth="1"/>
    <col min="15" max="19" width="9.140625" style="22" customWidth="1"/>
    <col min="20" max="20" width="14.57421875" style="22" bestFit="1" customWidth="1"/>
    <col min="21" max="16384" width="9.140625" style="22" customWidth="1"/>
  </cols>
  <sheetData>
    <row r="1" spans="2:7" ht="23.25" customHeight="1">
      <c r="B1" s="570" t="s">
        <v>166</v>
      </c>
      <c r="C1" s="571"/>
      <c r="D1" s="571"/>
      <c r="E1" s="571"/>
      <c r="F1" s="571"/>
      <c r="G1" s="571"/>
    </row>
    <row r="2" spans="2:7" ht="11.25">
      <c r="B2" s="23"/>
      <c r="C2" s="23"/>
      <c r="D2" s="23"/>
      <c r="E2" s="23"/>
      <c r="F2" s="23"/>
      <c r="G2" s="23"/>
    </row>
    <row r="3" spans="2:7" s="28" customFormat="1" ht="21">
      <c r="B3" s="563" t="s">
        <v>68</v>
      </c>
      <c r="C3" s="564"/>
      <c r="D3" s="24" t="str">
        <f>D15</f>
        <v>INICIALES AYTO</v>
      </c>
      <c r="E3" s="25" t="s">
        <v>70</v>
      </c>
      <c r="F3" s="26" t="str">
        <f>F15</f>
        <v>% EJEC AYTO</v>
      </c>
      <c r="G3" s="27" t="s">
        <v>2</v>
      </c>
    </row>
    <row r="4" spans="2:7" ht="11.25">
      <c r="B4" s="29" t="s">
        <v>3</v>
      </c>
      <c r="C4" s="30" t="s">
        <v>71</v>
      </c>
      <c r="D4" s="31"/>
      <c r="E4" s="33"/>
      <c r="F4" s="32"/>
      <c r="G4" s="394">
        <v>3526267.36</v>
      </c>
    </row>
    <row r="5" spans="2:7" ht="15" customHeight="1">
      <c r="B5" s="34" t="s">
        <v>5</v>
      </c>
      <c r="C5" s="35" t="s">
        <v>72</v>
      </c>
      <c r="D5" s="36"/>
      <c r="E5" s="38"/>
      <c r="F5" s="37"/>
      <c r="G5" s="395">
        <v>129308.86</v>
      </c>
    </row>
    <row r="6" spans="2:7" ht="11.25">
      <c r="B6" s="34" t="s">
        <v>7</v>
      </c>
      <c r="C6" s="35" t="s">
        <v>73</v>
      </c>
      <c r="D6" s="36"/>
      <c r="E6" s="38"/>
      <c r="F6" s="37"/>
      <c r="G6" s="38">
        <v>1510279.05</v>
      </c>
    </row>
    <row r="7" spans="2:7" ht="11.25">
      <c r="B7" s="34" t="s">
        <v>9</v>
      </c>
      <c r="C7" s="35" t="s">
        <v>10</v>
      </c>
      <c r="D7" s="36"/>
      <c r="E7" s="38"/>
      <c r="F7" s="39"/>
      <c r="G7" s="82">
        <v>2832153.51</v>
      </c>
    </row>
    <row r="8" spans="2:7" ht="11.25">
      <c r="B8" s="34" t="s">
        <v>11</v>
      </c>
      <c r="C8" s="35" t="s">
        <v>19</v>
      </c>
      <c r="D8" s="36"/>
      <c r="E8" s="38"/>
      <c r="F8" s="40"/>
      <c r="G8" s="38">
        <v>128031.45</v>
      </c>
    </row>
    <row r="9" spans="2:7" s="87" customFormat="1" ht="10.5">
      <c r="B9" s="83"/>
      <c r="C9" s="45" t="s">
        <v>12</v>
      </c>
      <c r="D9" s="84">
        <f>SUM(D4:D8)</f>
        <v>0</v>
      </c>
      <c r="E9" s="86">
        <f>SUM(E4:E8)</f>
        <v>0</v>
      </c>
      <c r="F9" s="85"/>
      <c r="G9" s="86">
        <f>SUM(G4:G8)</f>
        <v>8126040.2299999995</v>
      </c>
    </row>
    <row r="10" spans="2:7" ht="11.25">
      <c r="B10" s="34" t="s">
        <v>13</v>
      </c>
      <c r="C10" s="35" t="s">
        <v>20</v>
      </c>
      <c r="D10" s="36"/>
      <c r="E10" s="38"/>
      <c r="F10" s="44"/>
      <c r="G10" s="38"/>
    </row>
    <row r="11" spans="2:13" ht="12.75">
      <c r="B11" s="34" t="s">
        <v>15</v>
      </c>
      <c r="C11" s="35" t="s">
        <v>16</v>
      </c>
      <c r="D11" s="36"/>
      <c r="E11" s="38"/>
      <c r="F11" s="44"/>
      <c r="G11" s="38">
        <v>689744.34</v>
      </c>
      <c r="M11"/>
    </row>
    <row r="12" spans="2:7" s="87" customFormat="1" ht="10.5">
      <c r="B12" s="83"/>
      <c r="C12" s="45" t="s">
        <v>17</v>
      </c>
      <c r="D12" s="84"/>
      <c r="E12" s="86"/>
      <c r="F12" s="85"/>
      <c r="G12" s="86">
        <f>SUM(G10:G11)</f>
        <v>689744.34</v>
      </c>
    </row>
    <row r="13" spans="2:7" ht="11.25">
      <c r="B13" s="19"/>
      <c r="C13" s="45" t="s">
        <v>1</v>
      </c>
      <c r="D13" s="46">
        <f>D9+D12</f>
        <v>0</v>
      </c>
      <c r="E13" s="110">
        <f>E9+E12</f>
        <v>0</v>
      </c>
      <c r="F13" s="47"/>
      <c r="G13" s="48">
        <f>G9+G12</f>
        <v>8815784.57</v>
      </c>
    </row>
    <row r="14" spans="3:7" s="7" customFormat="1" ht="11.25">
      <c r="C14" s="49"/>
      <c r="D14" s="50"/>
      <c r="E14" s="111"/>
      <c r="F14" s="49"/>
      <c r="G14" s="52"/>
    </row>
    <row r="15" spans="2:7" s="53" customFormat="1" ht="21">
      <c r="B15" s="563" t="s">
        <v>74</v>
      </c>
      <c r="C15" s="564"/>
      <c r="D15" s="25" t="s">
        <v>69</v>
      </c>
      <c r="E15" s="25" t="str">
        <f>E3</f>
        <v>DEFI AYTO</v>
      </c>
      <c r="F15" s="26" t="s">
        <v>56</v>
      </c>
      <c r="G15" s="18" t="s">
        <v>2</v>
      </c>
    </row>
    <row r="16" spans="2:7" ht="11.25">
      <c r="B16" s="29" t="s">
        <v>3</v>
      </c>
      <c r="C16" s="29" t="s">
        <v>4</v>
      </c>
      <c r="D16" s="54"/>
      <c r="E16" s="112"/>
      <c r="F16" s="91"/>
      <c r="G16" s="33">
        <v>3023707.7</v>
      </c>
    </row>
    <row r="17" spans="2:7" ht="11.25">
      <c r="B17" s="34" t="s">
        <v>5</v>
      </c>
      <c r="C17" s="34" t="s">
        <v>6</v>
      </c>
      <c r="D17" s="54"/>
      <c r="E17" s="112"/>
      <c r="F17" s="59"/>
      <c r="G17" s="38">
        <v>2848061.34</v>
      </c>
    </row>
    <row r="18" spans="2:7" ht="11.25" customHeight="1">
      <c r="B18" s="34" t="s">
        <v>7</v>
      </c>
      <c r="C18" s="34" t="s">
        <v>8</v>
      </c>
      <c r="D18" s="54"/>
      <c r="E18" s="112"/>
      <c r="F18" s="59"/>
      <c r="G18" s="38">
        <v>0</v>
      </c>
    </row>
    <row r="19" spans="2:7" ht="11.25">
      <c r="B19" s="34" t="s">
        <v>9</v>
      </c>
      <c r="C19" s="34" t="s">
        <v>10</v>
      </c>
      <c r="D19" s="54"/>
      <c r="E19" s="112"/>
      <c r="F19" s="59"/>
      <c r="G19" s="38">
        <v>429932.41</v>
      </c>
    </row>
    <row r="20" spans="2:7" ht="11.25">
      <c r="B20" s="34" t="s">
        <v>11</v>
      </c>
      <c r="C20" s="34" t="s">
        <v>139</v>
      </c>
      <c r="D20" s="54"/>
      <c r="E20" s="112"/>
      <c r="F20" s="92"/>
      <c r="G20" s="105"/>
    </row>
    <row r="21" spans="2:7" s="87" customFormat="1" ht="10.5">
      <c r="B21" s="83"/>
      <c r="C21" s="83" t="s">
        <v>12</v>
      </c>
      <c r="D21" s="88">
        <f>SUM(D16:D20)</f>
        <v>0</v>
      </c>
      <c r="E21" s="113">
        <f>SUM(E16:E20)</f>
        <v>0</v>
      </c>
      <c r="F21" s="93"/>
      <c r="G21" s="104">
        <f>SUM(G16:G20)</f>
        <v>6301701.45</v>
      </c>
    </row>
    <row r="22" spans="2:7" ht="11.25">
      <c r="B22" s="34" t="s">
        <v>13</v>
      </c>
      <c r="C22" s="34" t="s">
        <v>14</v>
      </c>
      <c r="D22" s="54">
        <v>430070.84</v>
      </c>
      <c r="E22" s="112">
        <v>2404496</v>
      </c>
      <c r="F22" s="59"/>
      <c r="G22" s="82">
        <v>783590.74</v>
      </c>
    </row>
    <row r="23" spans="2:7" ht="11.25">
      <c r="B23" s="34" t="s">
        <v>15</v>
      </c>
      <c r="C23" s="34" t="s">
        <v>16</v>
      </c>
      <c r="D23" s="54"/>
      <c r="E23" s="112">
        <v>50000</v>
      </c>
      <c r="F23" s="94"/>
      <c r="G23" s="38"/>
    </row>
    <row r="24" spans="2:7" s="87" customFormat="1" ht="10.5">
      <c r="B24" s="83"/>
      <c r="C24" s="83" t="s">
        <v>17</v>
      </c>
      <c r="D24" s="88">
        <f>D22+D23</f>
        <v>430070.84</v>
      </c>
      <c r="E24" s="113">
        <f>SUM(E22:E23)</f>
        <v>2454496</v>
      </c>
      <c r="F24" s="93"/>
      <c r="G24" s="86">
        <f>SUM(G22:G23)</f>
        <v>783590.74</v>
      </c>
    </row>
    <row r="25" spans="2:7" ht="11.25">
      <c r="B25" s="19"/>
      <c r="C25" s="45" t="s">
        <v>1</v>
      </c>
      <c r="D25" s="48">
        <f>D21+D24</f>
        <v>430070.84</v>
      </c>
      <c r="E25" s="48">
        <f>SUM(E21+E24)</f>
        <v>2454496</v>
      </c>
      <c r="F25" s="95"/>
      <c r="G25" s="48">
        <f>G21+G24</f>
        <v>7085292.19</v>
      </c>
    </row>
    <row r="26" spans="2:7" ht="11.25">
      <c r="B26" s="19"/>
      <c r="C26" s="19"/>
      <c r="D26" s="19"/>
      <c r="E26" s="19"/>
      <c r="F26" s="19"/>
      <c r="G26" s="60"/>
    </row>
    <row r="27" spans="2:9" s="4" customFormat="1" ht="20.25" customHeight="1">
      <c r="B27" s="565" t="s">
        <v>21</v>
      </c>
      <c r="C27" s="566"/>
      <c r="D27" s="122">
        <f>D13-D25</f>
        <v>-430070.84</v>
      </c>
      <c r="E27" s="122" t="s">
        <v>103</v>
      </c>
      <c r="F27" s="150" t="s">
        <v>89</v>
      </c>
      <c r="G27" s="151">
        <f>G13-G25</f>
        <v>1730492.38</v>
      </c>
      <c r="I27" s="540"/>
    </row>
    <row r="28" spans="2:7" s="4" customFormat="1" ht="20.25" customHeight="1">
      <c r="B28" s="565" t="s">
        <v>156</v>
      </c>
      <c r="C28" s="573"/>
      <c r="D28" s="152"/>
      <c r="E28" s="152"/>
      <c r="F28" s="153"/>
      <c r="G28" s="151"/>
    </row>
    <row r="29" spans="2:14" ht="11.25">
      <c r="B29" s="567">
        <v>1</v>
      </c>
      <c r="C29" s="29" t="s">
        <v>75</v>
      </c>
      <c r="D29" s="62"/>
      <c r="E29" s="109"/>
      <c r="F29" s="109"/>
      <c r="G29" s="38">
        <f>SUM(G30:G35)</f>
        <v>0</v>
      </c>
      <c r="M29" s="247" t="s">
        <v>148</v>
      </c>
      <c r="N29" s="248" t="s">
        <v>149</v>
      </c>
    </row>
    <row r="30" spans="2:14" ht="11.25">
      <c r="B30" s="568"/>
      <c r="C30" s="77" t="s">
        <v>157</v>
      </c>
      <c r="D30" s="274"/>
      <c r="E30" s="148">
        <f>AJUSTES!G21</f>
        <v>0.9942666666666667</v>
      </c>
      <c r="F30" s="149">
        <f>1-E30</f>
        <v>0.005733333333333257</v>
      </c>
      <c r="G30" s="89"/>
      <c r="I30" s="76"/>
      <c r="L30" s="240" t="s">
        <v>40</v>
      </c>
      <c r="M30" s="241">
        <f>E30</f>
        <v>0.9942666666666667</v>
      </c>
      <c r="N30" s="242">
        <f aca="true" t="shared" si="0" ref="M30:N35">F30</f>
        <v>0.005733333333333257</v>
      </c>
    </row>
    <row r="31" spans="2:14" ht="11.25">
      <c r="B31" s="568"/>
      <c r="C31" s="77" t="s">
        <v>158</v>
      </c>
      <c r="D31" s="274"/>
      <c r="E31" s="148">
        <f>AJUSTES!G22</f>
        <v>0.8458</v>
      </c>
      <c r="F31" s="149">
        <f>1-E31</f>
        <v>0.1542</v>
      </c>
      <c r="G31" s="89"/>
      <c r="L31" s="77" t="s">
        <v>41</v>
      </c>
      <c r="M31" s="148">
        <f t="shared" si="0"/>
        <v>0.8458</v>
      </c>
      <c r="N31" s="243">
        <f t="shared" si="0"/>
        <v>0.1542</v>
      </c>
    </row>
    <row r="32" spans="2:14" ht="11.25">
      <c r="B32" s="568"/>
      <c r="C32" s="77" t="s">
        <v>159</v>
      </c>
      <c r="D32" s="274"/>
      <c r="E32" s="148">
        <v>1</v>
      </c>
      <c r="F32" s="149">
        <f>1-E32</f>
        <v>0</v>
      </c>
      <c r="G32" s="89"/>
      <c r="L32" s="77" t="s">
        <v>104</v>
      </c>
      <c r="M32" s="148">
        <f t="shared" si="0"/>
        <v>1</v>
      </c>
      <c r="N32" s="243">
        <f t="shared" si="0"/>
        <v>0</v>
      </c>
    </row>
    <row r="33" spans="2:14" ht="11.25">
      <c r="B33" s="568"/>
      <c r="C33" s="77" t="s">
        <v>160</v>
      </c>
      <c r="D33" s="274"/>
      <c r="E33" s="148">
        <f>AJUSTES!G24</f>
        <v>0.9655</v>
      </c>
      <c r="F33" s="149">
        <f>1-E33</f>
        <v>0.034499999999999975</v>
      </c>
      <c r="G33" s="89"/>
      <c r="L33" s="77" t="s">
        <v>42</v>
      </c>
      <c r="M33" s="148">
        <f t="shared" si="0"/>
        <v>0.9655</v>
      </c>
      <c r="N33" s="243">
        <f t="shared" si="0"/>
        <v>0.034499999999999975</v>
      </c>
    </row>
    <row r="34" spans="2:14" ht="11.25">
      <c r="B34" s="568"/>
      <c r="C34" s="77" t="s">
        <v>138</v>
      </c>
      <c r="D34" s="274"/>
      <c r="E34" s="148">
        <v>1</v>
      </c>
      <c r="F34" s="149" t="s">
        <v>106</v>
      </c>
      <c r="G34" s="89"/>
      <c r="L34" s="77" t="s">
        <v>138</v>
      </c>
      <c r="M34" s="148">
        <f t="shared" si="0"/>
        <v>1</v>
      </c>
      <c r="N34" s="243" t="str">
        <f t="shared" si="0"/>
        <v>%</v>
      </c>
    </row>
    <row r="35" spans="2:14" ht="11.25">
      <c r="B35" s="569"/>
      <c r="C35" s="244" t="s">
        <v>57</v>
      </c>
      <c r="D35" s="403"/>
      <c r="E35" s="245">
        <v>1</v>
      </c>
      <c r="F35" s="404">
        <v>0</v>
      </c>
      <c r="G35" s="90"/>
      <c r="H35" s="76"/>
      <c r="L35" s="244" t="s">
        <v>57</v>
      </c>
      <c r="M35" s="245">
        <f t="shared" si="0"/>
        <v>1</v>
      </c>
      <c r="N35" s="246">
        <f t="shared" si="0"/>
        <v>0</v>
      </c>
    </row>
    <row r="36" spans="2:7" ht="11.25" hidden="1">
      <c r="B36" s="567">
        <v>2</v>
      </c>
      <c r="C36" s="61" t="s">
        <v>76</v>
      </c>
      <c r="D36" s="65"/>
      <c r="E36" s="66"/>
      <c r="F36" s="67"/>
      <c r="G36" s="38">
        <v>0</v>
      </c>
    </row>
    <row r="37" spans="2:7" ht="11.25" hidden="1">
      <c r="B37" s="568"/>
      <c r="C37" s="64" t="s">
        <v>77</v>
      </c>
      <c r="D37" s="62"/>
      <c r="E37" s="63"/>
      <c r="F37" s="68"/>
      <c r="G37" s="89">
        <v>0</v>
      </c>
    </row>
    <row r="38" spans="2:7" ht="11.25" hidden="1">
      <c r="B38" s="569"/>
      <c r="C38" s="69" t="s">
        <v>78</v>
      </c>
      <c r="D38" s="70"/>
      <c r="E38" s="71"/>
      <c r="F38" s="72"/>
      <c r="G38" s="90">
        <v>0</v>
      </c>
    </row>
    <row r="39" spans="2:20" ht="11.25" hidden="1">
      <c r="B39" s="567">
        <v>3</v>
      </c>
      <c r="C39" s="61" t="s">
        <v>79</v>
      </c>
      <c r="D39" s="65"/>
      <c r="E39" s="66"/>
      <c r="F39" s="67"/>
      <c r="G39" s="33">
        <f>G41</f>
        <v>0</v>
      </c>
      <c r="T39" s="76">
        <f>G29+G39+G42+G45+G50</f>
        <v>985935.6033333333</v>
      </c>
    </row>
    <row r="40" spans="2:20" ht="11.25" hidden="1">
      <c r="B40" s="568"/>
      <c r="C40" s="64" t="s">
        <v>80</v>
      </c>
      <c r="D40" s="62"/>
      <c r="E40" s="63"/>
      <c r="F40" s="68"/>
      <c r="G40" s="89">
        <v>0</v>
      </c>
      <c r="T40" s="76">
        <v>-1715860.32</v>
      </c>
    </row>
    <row r="41" spans="2:7" ht="15" customHeight="1" hidden="1">
      <c r="B41" s="569"/>
      <c r="C41" s="69" t="s">
        <v>81</v>
      </c>
      <c r="D41" s="70"/>
      <c r="E41" s="71"/>
      <c r="F41" s="72"/>
      <c r="G41" s="90">
        <f>'ESTABILIDAD PPTARIA 3T 2018'!E39</f>
        <v>0</v>
      </c>
    </row>
    <row r="42" spans="2:20" ht="11.25">
      <c r="B42" s="567">
        <v>4</v>
      </c>
      <c r="C42" s="73" t="s">
        <v>82</v>
      </c>
      <c r="D42" s="55"/>
      <c r="E42" s="54"/>
      <c r="F42" s="56"/>
      <c r="G42" s="38">
        <f>SUM(G43:G44)</f>
        <v>533883.15</v>
      </c>
      <c r="J42" s="76"/>
      <c r="T42" s="76">
        <f>T39+T40</f>
        <v>-729924.7166666668</v>
      </c>
    </row>
    <row r="43" spans="2:10" ht="11.25">
      <c r="B43" s="568"/>
      <c r="C43" s="64" t="s">
        <v>227</v>
      </c>
      <c r="D43" s="55"/>
      <c r="E43" s="54"/>
      <c r="F43" s="56"/>
      <c r="G43" s="89">
        <v>533883.15</v>
      </c>
      <c r="J43" s="76"/>
    </row>
    <row r="44" spans="2:10" ht="11.25">
      <c r="B44" s="569"/>
      <c r="C44" s="69" t="s">
        <v>228</v>
      </c>
      <c r="D44" s="96"/>
      <c r="E44" s="97"/>
      <c r="F44" s="98"/>
      <c r="G44" s="89">
        <v>0</v>
      </c>
      <c r="J44" s="76"/>
    </row>
    <row r="45" spans="2:10" ht="11.25">
      <c r="B45" s="567">
        <v>5</v>
      </c>
      <c r="C45" s="61" t="s">
        <v>83</v>
      </c>
      <c r="D45" s="74"/>
      <c r="E45" s="75"/>
      <c r="F45" s="99"/>
      <c r="G45" s="33">
        <f>SUM(G46:G48)</f>
        <v>-87766.97999999998</v>
      </c>
      <c r="J45" s="76"/>
    </row>
    <row r="46" spans="2:10" ht="11.25">
      <c r="B46" s="568"/>
      <c r="C46" s="64" t="s">
        <v>49</v>
      </c>
      <c r="D46" s="62"/>
      <c r="E46" s="63"/>
      <c r="F46" s="68"/>
      <c r="G46" s="89">
        <f>AJUSTES!G10-'ESTABILIDAD PRESUPUESTARIA 2020'!G4</f>
        <v>-264208.68666666653</v>
      </c>
      <c r="H46" s="76">
        <f>G46+G51</f>
        <v>2160.4966666667606</v>
      </c>
      <c r="I46" s="76"/>
      <c r="J46" s="76"/>
    </row>
    <row r="47" spans="2:10" ht="11.25">
      <c r="B47" s="568"/>
      <c r="C47" s="64" t="s">
        <v>50</v>
      </c>
      <c r="D47" s="62"/>
      <c r="E47" s="63"/>
      <c r="F47" s="68"/>
      <c r="G47" s="89">
        <v>-402</v>
      </c>
      <c r="H47" s="76">
        <f>G47+G52</f>
        <v>15500.056666666665</v>
      </c>
      <c r="I47" s="76"/>
      <c r="J47" s="76"/>
    </row>
    <row r="48" spans="2:10" ht="11.25">
      <c r="B48" s="568"/>
      <c r="C48" s="64" t="s">
        <v>44</v>
      </c>
      <c r="D48" s="62"/>
      <c r="E48" s="63"/>
      <c r="F48" s="68"/>
      <c r="G48" s="89">
        <f>AJUSTES!G12-'ESTABILIDAD PRESUPUESTARIA 2020'!G6</f>
        <v>176843.70666666655</v>
      </c>
      <c r="H48" s="76">
        <f>G48+G53</f>
        <v>434391.8999999999</v>
      </c>
      <c r="I48" s="76"/>
      <c r="J48" s="76"/>
    </row>
    <row r="49" spans="2:10" ht="11.25">
      <c r="B49" s="569"/>
      <c r="C49" s="64"/>
      <c r="D49" s="70"/>
      <c r="E49" s="71"/>
      <c r="F49" s="72"/>
      <c r="G49" s="89"/>
      <c r="I49" s="76"/>
      <c r="J49" s="76"/>
    </row>
    <row r="50" spans="2:10" ht="11.25">
      <c r="B50" s="567">
        <v>6</v>
      </c>
      <c r="C50" s="61" t="s">
        <v>84</v>
      </c>
      <c r="D50" s="65"/>
      <c r="E50" s="66"/>
      <c r="F50" s="67"/>
      <c r="G50" s="33">
        <f>SUM(G51:G53)</f>
        <v>539819.4333333332</v>
      </c>
      <c r="J50" s="76"/>
    </row>
    <row r="51" spans="2:7" ht="11.25">
      <c r="B51" s="568"/>
      <c r="C51" s="64" t="s">
        <v>45</v>
      </c>
      <c r="D51" s="62"/>
      <c r="E51" s="63"/>
      <c r="F51" s="68"/>
      <c r="G51" s="89">
        <f>AJUSTES!G15</f>
        <v>266369.1833333333</v>
      </c>
    </row>
    <row r="52" spans="2:7" ht="11.25">
      <c r="B52" s="568"/>
      <c r="C52" s="64" t="s">
        <v>46</v>
      </c>
      <c r="D52" s="62"/>
      <c r="E52" s="63"/>
      <c r="F52" s="68"/>
      <c r="G52" s="89">
        <f>AJUSTES!G16</f>
        <v>15902.056666666665</v>
      </c>
    </row>
    <row r="53" spans="2:7" ht="11.25">
      <c r="B53" s="568"/>
      <c r="C53" s="64" t="s">
        <v>47</v>
      </c>
      <c r="D53" s="62"/>
      <c r="E53" s="63"/>
      <c r="F53" s="68"/>
      <c r="G53" s="89">
        <f>AJUSTES!G17</f>
        <v>257548.19333333333</v>
      </c>
    </row>
    <row r="54" spans="2:7" ht="11.25">
      <c r="B54" s="569"/>
      <c r="C54" s="64"/>
      <c r="D54" s="70"/>
      <c r="E54" s="71"/>
      <c r="F54" s="72"/>
      <c r="G54" s="89"/>
    </row>
    <row r="55" spans="2:7" ht="11.25" hidden="1">
      <c r="B55" s="567">
        <v>7</v>
      </c>
      <c r="C55" s="61" t="s">
        <v>85</v>
      </c>
      <c r="D55" s="65"/>
      <c r="E55" s="66"/>
      <c r="F55" s="67"/>
      <c r="G55" s="33">
        <f>G58+G57+G56</f>
        <v>0</v>
      </c>
    </row>
    <row r="56" spans="2:7" ht="11.25" hidden="1">
      <c r="B56" s="568"/>
      <c r="C56" s="64" t="s">
        <v>116</v>
      </c>
      <c r="D56" s="62"/>
      <c r="E56" s="63"/>
      <c r="F56" s="68"/>
      <c r="G56" s="89">
        <v>0</v>
      </c>
    </row>
    <row r="57" spans="2:7" ht="11.25" hidden="1">
      <c r="B57" s="568"/>
      <c r="C57" s="64" t="s">
        <v>117</v>
      </c>
      <c r="D57" s="62"/>
      <c r="E57" s="63"/>
      <c r="F57" s="68"/>
      <c r="G57" s="89">
        <v>0</v>
      </c>
    </row>
    <row r="58" spans="2:8" ht="11.25" hidden="1">
      <c r="B58" s="568"/>
      <c r="C58" s="64" t="s">
        <v>118</v>
      </c>
      <c r="D58" s="62"/>
      <c r="E58" s="63"/>
      <c r="F58" s="68"/>
      <c r="G58" s="89">
        <v>0</v>
      </c>
      <c r="H58" s="114">
        <v>97405.14</v>
      </c>
    </row>
    <row r="59" spans="2:7" ht="11.25" hidden="1">
      <c r="B59" s="569"/>
      <c r="C59" s="64"/>
      <c r="D59" s="70"/>
      <c r="E59" s="71"/>
      <c r="F59" s="72"/>
      <c r="G59" s="89"/>
    </row>
    <row r="60" spans="2:7" ht="11.25" hidden="1">
      <c r="B60" s="558">
        <v>8</v>
      </c>
      <c r="C60" s="29" t="s">
        <v>86</v>
      </c>
      <c r="D60" s="62"/>
      <c r="E60" s="63"/>
      <c r="F60" s="68"/>
      <c r="G60" s="33">
        <v>0</v>
      </c>
    </row>
    <row r="61" spans="2:7" ht="11.25" hidden="1">
      <c r="B61" s="560"/>
      <c r="C61" s="77"/>
      <c r="D61" s="55"/>
      <c r="E61" s="54"/>
      <c r="F61" s="56"/>
      <c r="G61" s="90"/>
    </row>
    <row r="62" spans="2:7" ht="12.75" customHeight="1" hidden="1">
      <c r="B62" s="558">
        <v>9</v>
      </c>
      <c r="C62" s="134" t="s">
        <v>121</v>
      </c>
      <c r="D62" s="75"/>
      <c r="E62" s="75"/>
      <c r="F62" s="99"/>
      <c r="G62" s="136">
        <v>0</v>
      </c>
    </row>
    <row r="63" spans="2:7" ht="11.25" hidden="1">
      <c r="B63" s="559"/>
      <c r="C63" s="133"/>
      <c r="D63" s="54"/>
      <c r="E63" s="54"/>
      <c r="F63" s="56"/>
      <c r="G63" s="89"/>
    </row>
    <row r="64" spans="2:7" ht="11.25" hidden="1">
      <c r="B64" s="561">
        <v>10</v>
      </c>
      <c r="C64" s="134" t="s">
        <v>122</v>
      </c>
      <c r="D64" s="75"/>
      <c r="E64" s="75"/>
      <c r="F64" s="75"/>
      <c r="G64" s="136">
        <v>0</v>
      </c>
    </row>
    <row r="65" spans="2:7" ht="11.25" hidden="1">
      <c r="B65" s="562"/>
      <c r="C65" s="130"/>
      <c r="D65" s="97"/>
      <c r="E65" s="97"/>
      <c r="F65" s="97"/>
      <c r="G65" s="90"/>
    </row>
    <row r="66" spans="2:7" ht="11.25" hidden="1">
      <c r="B66" s="561">
        <v>11</v>
      </c>
      <c r="C66" s="134" t="s">
        <v>123</v>
      </c>
      <c r="D66" s="75"/>
      <c r="E66" s="75"/>
      <c r="F66" s="75"/>
      <c r="G66" s="136">
        <v>0</v>
      </c>
    </row>
    <row r="67" spans="2:7" ht="11.25" hidden="1">
      <c r="B67" s="562"/>
      <c r="C67" s="130"/>
      <c r="D67" s="97"/>
      <c r="E67" s="97"/>
      <c r="F67" s="97"/>
      <c r="G67" s="90"/>
    </row>
    <row r="68" spans="2:7" ht="11.25" hidden="1">
      <c r="B68" s="132">
        <v>12</v>
      </c>
      <c r="C68" s="134" t="s">
        <v>124</v>
      </c>
      <c r="D68" s="75"/>
      <c r="E68" s="75"/>
      <c r="F68" s="75"/>
      <c r="G68" s="136">
        <v>0</v>
      </c>
    </row>
    <row r="69" spans="2:7" ht="11.25" hidden="1">
      <c r="B69" s="131"/>
      <c r="C69" s="130"/>
      <c r="D69" s="97"/>
      <c r="E69" s="97"/>
      <c r="F69" s="97"/>
      <c r="G69" s="90"/>
    </row>
    <row r="70" spans="2:7" ht="11.25" hidden="1">
      <c r="B70" s="132">
        <v>13</v>
      </c>
      <c r="C70" s="134" t="s">
        <v>132</v>
      </c>
      <c r="D70" s="75"/>
      <c r="E70" s="75"/>
      <c r="F70" s="75"/>
      <c r="G70" s="136">
        <v>0</v>
      </c>
    </row>
    <row r="71" spans="2:7" ht="11.25" hidden="1">
      <c r="B71" s="131"/>
      <c r="C71" s="130"/>
      <c r="D71" s="97"/>
      <c r="E71" s="97"/>
      <c r="F71" s="97"/>
      <c r="G71" s="90"/>
    </row>
    <row r="72" spans="2:7" ht="11.25" hidden="1">
      <c r="B72" s="132">
        <v>14</v>
      </c>
      <c r="C72" s="134" t="s">
        <v>125</v>
      </c>
      <c r="D72" s="75"/>
      <c r="E72" s="75"/>
      <c r="F72" s="75"/>
      <c r="G72" s="136">
        <v>0</v>
      </c>
    </row>
    <row r="73" spans="2:7" ht="11.25" hidden="1">
      <c r="B73" s="131"/>
      <c r="C73" s="130"/>
      <c r="D73" s="97"/>
      <c r="E73" s="97"/>
      <c r="F73" s="97"/>
      <c r="G73" s="90"/>
    </row>
    <row r="74" spans="2:7" ht="11.25" hidden="1">
      <c r="B74" s="132">
        <v>15</v>
      </c>
      <c r="C74" s="134" t="s">
        <v>126</v>
      </c>
      <c r="D74" s="75"/>
      <c r="E74" s="75"/>
      <c r="F74" s="75"/>
      <c r="G74" s="136">
        <v>0</v>
      </c>
    </row>
    <row r="75" spans="2:7" ht="11.25" hidden="1">
      <c r="B75" s="131"/>
      <c r="C75" s="130"/>
      <c r="D75" s="97"/>
      <c r="E75" s="97"/>
      <c r="F75" s="97"/>
      <c r="G75" s="90"/>
    </row>
    <row r="76" spans="2:7" ht="11.25" hidden="1">
      <c r="B76" s="132">
        <v>16</v>
      </c>
      <c r="C76" s="134" t="s">
        <v>127</v>
      </c>
      <c r="D76" s="75"/>
      <c r="E76" s="75"/>
      <c r="F76" s="75"/>
      <c r="G76" s="136">
        <v>0</v>
      </c>
    </row>
    <row r="77" spans="2:7" ht="11.25" hidden="1">
      <c r="B77" s="131"/>
      <c r="C77" s="130"/>
      <c r="D77" s="97"/>
      <c r="E77" s="97"/>
      <c r="F77" s="97"/>
      <c r="G77" s="90"/>
    </row>
    <row r="78" spans="2:7" ht="11.25" hidden="1">
      <c r="B78" s="132">
        <v>17</v>
      </c>
      <c r="C78" s="134" t="s">
        <v>128</v>
      </c>
      <c r="D78" s="75"/>
      <c r="E78" s="75"/>
      <c r="F78" s="75"/>
      <c r="G78" s="136">
        <v>0</v>
      </c>
    </row>
    <row r="79" spans="2:7" ht="11.25" hidden="1">
      <c r="B79" s="131"/>
      <c r="C79" s="130"/>
      <c r="D79" s="97"/>
      <c r="E79" s="97"/>
      <c r="F79" s="97"/>
      <c r="G79" s="90"/>
    </row>
    <row r="80" spans="2:7" ht="11.25" hidden="1">
      <c r="B80" s="132">
        <v>18</v>
      </c>
      <c r="C80" s="134" t="s">
        <v>129</v>
      </c>
      <c r="D80" s="75"/>
      <c r="E80" s="75"/>
      <c r="F80" s="75"/>
      <c r="G80" s="136">
        <v>0</v>
      </c>
    </row>
    <row r="81" spans="2:7" ht="11.25" hidden="1">
      <c r="B81" s="131"/>
      <c r="C81" s="130"/>
      <c r="D81" s="97"/>
      <c r="E81" s="97"/>
      <c r="F81" s="97"/>
      <c r="G81" s="90"/>
    </row>
    <row r="82" spans="2:7" ht="11.25" hidden="1">
      <c r="B82" s="132">
        <v>19</v>
      </c>
      <c r="C82" s="134" t="s">
        <v>130</v>
      </c>
      <c r="D82" s="75"/>
      <c r="E82" s="75"/>
      <c r="F82" s="75"/>
      <c r="G82" s="136">
        <v>0</v>
      </c>
    </row>
    <row r="83" spans="2:7" ht="11.25" hidden="1">
      <c r="B83" s="125"/>
      <c r="C83" s="130"/>
      <c r="D83" s="97"/>
      <c r="E83" s="97"/>
      <c r="F83" s="97"/>
      <c r="G83" s="90"/>
    </row>
    <row r="84" spans="2:7" ht="20.25" customHeight="1">
      <c r="B84" s="563" t="s">
        <v>53</v>
      </c>
      <c r="C84" s="564"/>
      <c r="D84" s="78"/>
      <c r="E84" s="78"/>
      <c r="F84" s="78"/>
      <c r="G84" s="137">
        <f>SUM(G29+G36+G39+G42+G45+G50+G55+G60+G62+G64+G66+G68+G70+G72+G74+G76+G78+G80+G82)</f>
        <v>985935.6033333333</v>
      </c>
    </row>
    <row r="85" spans="2:7" s="4" customFormat="1" ht="33.75" customHeight="1">
      <c r="B85" s="565" t="s">
        <v>22</v>
      </c>
      <c r="C85" s="566"/>
      <c r="D85" s="128"/>
      <c r="E85" s="129"/>
      <c r="F85" s="129"/>
      <c r="G85" s="135">
        <f>G27+G84</f>
        <v>2716427.9833333334</v>
      </c>
    </row>
    <row r="86" spans="3:7" s="79" customFormat="1" ht="11.25">
      <c r="C86" s="80"/>
      <c r="D86" s="80"/>
      <c r="E86" s="80"/>
      <c r="F86" s="80"/>
      <c r="G86" s="81"/>
    </row>
    <row r="87" spans="3:7" s="79" customFormat="1" ht="19.5" customHeight="1">
      <c r="C87" s="80"/>
      <c r="D87" s="80"/>
      <c r="E87" s="80"/>
      <c r="F87" s="392">
        <v>0.07</v>
      </c>
      <c r="G87" s="393">
        <f>F87*G85</f>
        <v>190149.95883333337</v>
      </c>
    </row>
    <row r="88" spans="6:7" ht="15.75">
      <c r="F88" s="392">
        <v>0.2</v>
      </c>
      <c r="G88" s="393">
        <f>F88*G85</f>
        <v>543285.5966666667</v>
      </c>
    </row>
  </sheetData>
  <sheetProtection/>
  <mergeCells count="18">
    <mergeCell ref="B3:C3"/>
    <mergeCell ref="B15:C15"/>
    <mergeCell ref="B84:C84"/>
    <mergeCell ref="B62:B63"/>
    <mergeCell ref="B64:B65"/>
    <mergeCell ref="B66:B67"/>
    <mergeCell ref="B45:B49"/>
    <mergeCell ref="B27:C27"/>
    <mergeCell ref="B85:C85"/>
    <mergeCell ref="B29:B35"/>
    <mergeCell ref="B36:B38"/>
    <mergeCell ref="B39:B41"/>
    <mergeCell ref="B42:B44"/>
    <mergeCell ref="B1:G1"/>
    <mergeCell ref="B28:C28"/>
    <mergeCell ref="B50:B54"/>
    <mergeCell ref="B55:B59"/>
    <mergeCell ref="B60:B61"/>
  </mergeCells>
  <conditionalFormatting sqref="G85">
    <cfRule type="cellIs" priority="3" dxfId="0" operator="lessThan" stopIfTrue="1">
      <formula>0</formula>
    </cfRule>
    <cfRule type="cellIs" priority="4" dxfId="2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7"/>
  <sheetViews>
    <sheetView zoomScalePageLayoutView="0" workbookViewId="0" topLeftCell="A1">
      <selection activeCell="G30" sqref="G30"/>
    </sheetView>
  </sheetViews>
  <sheetFormatPr defaultColWidth="11.421875" defaultRowHeight="12.75"/>
  <cols>
    <col min="3" max="3" width="22.7109375" style="0" customWidth="1"/>
    <col min="4" max="4" width="15.00390625" style="0" hidden="1" customWidth="1"/>
    <col min="5" max="5" width="16.00390625" style="0" hidden="1" customWidth="1"/>
    <col min="6" max="6" width="15.8515625" style="0" hidden="1" customWidth="1"/>
    <col min="7" max="7" width="16.28125" style="0" customWidth="1"/>
    <col min="9" max="9" width="14.28125" style="0" bestFit="1" customWidth="1"/>
  </cols>
  <sheetData>
    <row r="2" spans="1:7" ht="12.75">
      <c r="A2" s="585" t="s">
        <v>167</v>
      </c>
      <c r="B2" s="586"/>
      <c r="C2" s="586"/>
      <c r="D2" s="586"/>
      <c r="E2" s="586"/>
      <c r="F2" s="586"/>
      <c r="G2" s="586"/>
    </row>
    <row r="3" spans="1:7" ht="12.75">
      <c r="A3" s="325"/>
      <c r="B3" s="325"/>
      <c r="C3" s="325"/>
      <c r="D3" s="325">
        <v>2017</v>
      </c>
      <c r="E3" s="325">
        <v>2018</v>
      </c>
      <c r="F3" s="325">
        <v>2019</v>
      </c>
      <c r="G3" s="325">
        <v>2020</v>
      </c>
    </row>
    <row r="4" spans="1:7" ht="13.5" thickBot="1">
      <c r="A4" s="587"/>
      <c r="B4" s="588"/>
      <c r="C4" s="589"/>
      <c r="D4" s="326" t="s">
        <v>66</v>
      </c>
      <c r="E4" s="326" t="s">
        <v>66</v>
      </c>
      <c r="F4" s="326" t="s">
        <v>66</v>
      </c>
      <c r="G4" s="326" t="s">
        <v>66</v>
      </c>
    </row>
    <row r="5" spans="1:7" ht="12.75">
      <c r="A5" s="590" t="s">
        <v>168</v>
      </c>
      <c r="B5" s="591"/>
      <c r="C5" s="592"/>
      <c r="D5" s="327">
        <f>SUM(D6:D11)</f>
        <v>11591288.000000002</v>
      </c>
      <c r="E5" s="327">
        <v>12821689.370000001</v>
      </c>
      <c r="F5" s="327">
        <v>12776559.430000002</v>
      </c>
      <c r="G5" s="327">
        <f>SUM(G6:G19)</f>
        <v>7085292.19</v>
      </c>
    </row>
    <row r="6" spans="1:7" ht="12.75">
      <c r="A6" s="328" t="s">
        <v>43</v>
      </c>
      <c r="B6" s="329"/>
      <c r="C6" s="330"/>
      <c r="D6" s="331">
        <v>7094328.24</v>
      </c>
      <c r="E6" s="331">
        <v>7064396.93</v>
      </c>
      <c r="F6" s="331">
        <v>7499415.54</v>
      </c>
      <c r="G6" s="331">
        <f>'ESTABILIDAD PRESUPUESTARIA 2020'!G16</f>
        <v>3023707.7</v>
      </c>
    </row>
    <row r="7" spans="1:7" ht="12.75">
      <c r="A7" s="328" t="s">
        <v>51</v>
      </c>
      <c r="B7" s="329"/>
      <c r="C7" s="330"/>
      <c r="D7" s="331">
        <v>2888733.15</v>
      </c>
      <c r="E7" s="331">
        <v>3152556.73</v>
      </c>
      <c r="F7" s="331">
        <v>3359585.01</v>
      </c>
      <c r="G7" s="331">
        <f>'ESTABILIDAD PRESUPUESTARIA 2020'!G17</f>
        <v>2848061.34</v>
      </c>
    </row>
    <row r="8" spans="1:7" ht="12.75">
      <c r="A8" s="328" t="s">
        <v>59</v>
      </c>
      <c r="B8" s="329"/>
      <c r="C8" s="330"/>
      <c r="D8" s="331">
        <v>4935.97</v>
      </c>
      <c r="E8" s="331">
        <v>11919.21</v>
      </c>
      <c r="F8" s="331">
        <v>5372.57</v>
      </c>
      <c r="G8" s="331">
        <f>'ESTABILIDAD PRESUPUESTARIA 2020'!G18</f>
        <v>0</v>
      </c>
    </row>
    <row r="9" spans="1:7" ht="12.75">
      <c r="A9" s="328" t="s">
        <v>38</v>
      </c>
      <c r="B9" s="329"/>
      <c r="C9" s="330"/>
      <c r="D9" s="331">
        <v>278585.33</v>
      </c>
      <c r="E9" s="331">
        <v>334280.25</v>
      </c>
      <c r="F9" s="331">
        <v>349949.97</v>
      </c>
      <c r="G9" s="331">
        <f>'ESTABILIDAD PRESUPUESTARIA 2020'!G19</f>
        <v>429932.41</v>
      </c>
    </row>
    <row r="10" spans="1:7" ht="12.75">
      <c r="A10" s="328" t="s">
        <v>151</v>
      </c>
      <c r="B10" s="329"/>
      <c r="C10" s="330"/>
      <c r="D10" s="331">
        <v>0</v>
      </c>
      <c r="E10" s="331">
        <v>0</v>
      </c>
      <c r="F10" s="331">
        <v>0</v>
      </c>
      <c r="G10" s="331">
        <f>'ESTABILIDAD PRESUPUESTARIA 2020'!G20</f>
        <v>0</v>
      </c>
    </row>
    <row r="11" spans="1:7" ht="12.75">
      <c r="A11" s="328" t="s">
        <v>135</v>
      </c>
      <c r="B11" s="329"/>
      <c r="C11" s="330"/>
      <c r="D11" s="331">
        <v>1324705.31</v>
      </c>
      <c r="E11" s="331">
        <v>2258536.2500000005</v>
      </c>
      <c r="F11" s="331">
        <v>1562236.34</v>
      </c>
      <c r="G11" s="331">
        <f>'ESTABILIDAD PRESUPUESTARIA 2020'!G22</f>
        <v>783590.74</v>
      </c>
    </row>
    <row r="12" spans="1:9" ht="12.75">
      <c r="A12" s="332" t="s">
        <v>169</v>
      </c>
      <c r="B12" s="333"/>
      <c r="C12" s="334"/>
      <c r="D12" s="335"/>
      <c r="E12" s="335"/>
      <c r="F12" s="335"/>
      <c r="G12" s="331">
        <f>'ESTABILIDAD PRESUPUESTARIA 2020'!G23</f>
        <v>0</v>
      </c>
      <c r="I12" s="554">
        <f>G5+G20</f>
        <v>7085292.19</v>
      </c>
    </row>
    <row r="13" spans="1:7" ht="12.75" hidden="1">
      <c r="A13" s="336" t="s">
        <v>170</v>
      </c>
      <c r="B13" s="337" t="s">
        <v>66</v>
      </c>
      <c r="C13" s="338"/>
      <c r="D13" s="339"/>
      <c r="E13" s="339"/>
      <c r="F13" s="339"/>
      <c r="G13" s="339"/>
    </row>
    <row r="14" spans="1:7" ht="12.75" hidden="1">
      <c r="A14" s="340" t="s">
        <v>171</v>
      </c>
      <c r="B14" s="341" t="e">
        <f>'[3]AJUSTES'!L23</f>
        <v>#REF!</v>
      </c>
      <c r="C14" s="342"/>
      <c r="D14" s="8"/>
      <c r="E14" s="8"/>
      <c r="F14" s="8"/>
      <c r="G14" s="8"/>
    </row>
    <row r="15" spans="1:7" ht="12.75" hidden="1">
      <c r="A15" s="340" t="s">
        <v>172</v>
      </c>
      <c r="B15" s="341" t="e">
        <f>'[3]AJUSTES'!L24</f>
        <v>#REF!</v>
      </c>
      <c r="C15" s="342"/>
      <c r="D15" s="8"/>
      <c r="E15" s="8"/>
      <c r="F15" s="8"/>
      <c r="G15" s="8"/>
    </row>
    <row r="16" spans="1:7" ht="12.75" hidden="1">
      <c r="A16" s="340" t="s">
        <v>173</v>
      </c>
      <c r="B16" s="341" t="e">
        <f>'[3]AJUSTES'!L26</f>
        <v>#REF!</v>
      </c>
      <c r="C16" s="342"/>
      <c r="D16" s="8"/>
      <c r="E16" s="8"/>
      <c r="F16" s="8"/>
      <c r="G16" s="8"/>
    </row>
    <row r="17" spans="1:7" ht="12.75" hidden="1">
      <c r="A17" s="340" t="s">
        <v>174</v>
      </c>
      <c r="B17" s="341" t="e">
        <f>'[3]AJUSTES'!L27</f>
        <v>#REF!</v>
      </c>
      <c r="C17" s="342"/>
      <c r="D17" s="8"/>
      <c r="E17" s="8"/>
      <c r="F17" s="8"/>
      <c r="G17" s="8"/>
    </row>
    <row r="18" spans="1:7" ht="12.75" hidden="1">
      <c r="A18" s="340" t="s">
        <v>175</v>
      </c>
      <c r="B18" s="343" t="e">
        <f>#REF!*1/#REF!</f>
        <v>#REF!</v>
      </c>
      <c r="C18" s="342"/>
      <c r="D18" s="8"/>
      <c r="E18" s="8"/>
      <c r="F18" s="8"/>
      <c r="G18" s="8"/>
    </row>
    <row r="19" spans="1:7" ht="12.75" hidden="1">
      <c r="A19" s="340" t="s">
        <v>176</v>
      </c>
      <c r="B19" s="344"/>
      <c r="C19" s="345"/>
      <c r="D19" s="8"/>
      <c r="E19" s="8"/>
      <c r="F19" s="8"/>
      <c r="G19" s="8"/>
    </row>
    <row r="20" spans="1:7" ht="12.75">
      <c r="A20" s="346" t="s">
        <v>177</v>
      </c>
      <c r="B20" s="347"/>
      <c r="C20" s="348"/>
      <c r="D20" s="349">
        <f>-SUM(D21:D21)</f>
        <v>-4935.97</v>
      </c>
      <c r="E20" s="349">
        <v>-11919.21</v>
      </c>
      <c r="F20" s="349">
        <v>-5372.57</v>
      </c>
      <c r="G20" s="349">
        <f>-SUM(G21:G21)</f>
        <v>0</v>
      </c>
    </row>
    <row r="21" spans="1:7" ht="12.75">
      <c r="A21" s="350" t="s">
        <v>178</v>
      </c>
      <c r="B21" s="333"/>
      <c r="C21" s="351"/>
      <c r="D21" s="352">
        <f>D8</f>
        <v>4935.97</v>
      </c>
      <c r="E21" s="352">
        <v>11919.21</v>
      </c>
      <c r="F21" s="352">
        <v>5372.57</v>
      </c>
      <c r="G21" s="352">
        <f>G8</f>
        <v>0</v>
      </c>
    </row>
    <row r="22" spans="1:7" ht="12.75">
      <c r="A22" s="328" t="s">
        <v>179</v>
      </c>
      <c r="B22" s="329"/>
      <c r="C22" s="330"/>
      <c r="D22" s="353">
        <f>SUM(D23:D24)</f>
        <v>16748.380000000005</v>
      </c>
      <c r="E22" s="353">
        <v>83125.58</v>
      </c>
      <c r="F22" s="353">
        <v>-95935.27</v>
      </c>
      <c r="G22" s="353">
        <f>SUM(G23:G24)</f>
        <v>533883.15</v>
      </c>
    </row>
    <row r="23" spans="1:7" ht="12.75">
      <c r="A23" s="328" t="s">
        <v>180</v>
      </c>
      <c r="B23" s="329"/>
      <c r="C23" s="330"/>
      <c r="D23" s="355">
        <v>109086.24</v>
      </c>
      <c r="E23" s="355">
        <v>192211.82</v>
      </c>
      <c r="F23" s="356">
        <v>96276.55</v>
      </c>
      <c r="G23" s="331">
        <f>'ESTABILIDAD PRESUPUESTARIA 2020'!G42</f>
        <v>533883.15</v>
      </c>
    </row>
    <row r="24" spans="1:7" ht="12.75">
      <c r="A24" s="328" t="s">
        <v>181</v>
      </c>
      <c r="B24" s="329"/>
      <c r="C24" s="330"/>
      <c r="D24" s="355">
        <v>-92337.86</v>
      </c>
      <c r="E24" s="355">
        <v>-109086.24</v>
      </c>
      <c r="F24" s="355">
        <v>-192211.82</v>
      </c>
      <c r="G24" s="355">
        <v>0</v>
      </c>
    </row>
    <row r="25" spans="1:7" ht="12.75">
      <c r="A25" s="357" t="s">
        <v>182</v>
      </c>
      <c r="B25" s="347"/>
      <c r="C25" s="358"/>
      <c r="D25" s="353">
        <f>D27+D26</f>
        <v>-6564.24</v>
      </c>
      <c r="E25" s="353">
        <v>-5470.2</v>
      </c>
      <c r="F25" s="353">
        <v>0</v>
      </c>
      <c r="G25" s="353">
        <f>G27+G26</f>
        <v>0</v>
      </c>
    </row>
    <row r="26" spans="1:7" ht="12.75">
      <c r="A26" s="328" t="s">
        <v>183</v>
      </c>
      <c r="B26" s="329"/>
      <c r="C26" s="330"/>
      <c r="D26" s="359"/>
      <c r="E26" s="359"/>
      <c r="F26" s="359"/>
      <c r="G26" s="359"/>
    </row>
    <row r="27" spans="1:7" ht="12.75">
      <c r="A27" s="332" t="s">
        <v>184</v>
      </c>
      <c r="B27" s="333"/>
      <c r="C27" s="334"/>
      <c r="D27" s="360">
        <v>-6564.24</v>
      </c>
      <c r="E27" s="360">
        <v>-5470.2</v>
      </c>
      <c r="F27" s="360">
        <v>0</v>
      </c>
      <c r="G27" s="360">
        <v>0</v>
      </c>
    </row>
    <row r="28" spans="1:7" ht="12.75">
      <c r="A28" s="328" t="s">
        <v>185</v>
      </c>
      <c r="B28" s="329"/>
      <c r="C28" s="330"/>
      <c r="D28" s="349">
        <f>D29</f>
        <v>0</v>
      </c>
      <c r="E28" s="349">
        <v>0</v>
      </c>
      <c r="F28" s="349">
        <v>0</v>
      </c>
      <c r="G28" s="349">
        <f>G29</f>
        <v>0</v>
      </c>
    </row>
    <row r="29" spans="1:7" ht="12.75">
      <c r="A29" s="328" t="s">
        <v>186</v>
      </c>
      <c r="B29" s="329"/>
      <c r="C29" s="330"/>
      <c r="D29" s="354"/>
      <c r="E29" s="354"/>
      <c r="F29" s="354"/>
      <c r="G29" s="354"/>
    </row>
    <row r="30" spans="1:7" ht="12.75">
      <c r="A30" s="357" t="s">
        <v>187</v>
      </c>
      <c r="B30" s="347"/>
      <c r="C30" s="358"/>
      <c r="D30" s="349">
        <f>-SUM(D31:D64)</f>
        <v>-1069375.0579</v>
      </c>
      <c r="E30" s="349">
        <v>-1844943.1392630714</v>
      </c>
      <c r="F30" s="349">
        <v>-1732951.47</v>
      </c>
      <c r="G30" s="349">
        <v>-302894.18</v>
      </c>
    </row>
    <row r="31" spans="1:7" ht="12.75">
      <c r="A31" s="328" t="s">
        <v>188</v>
      </c>
      <c r="B31" s="329"/>
      <c r="C31" s="361"/>
      <c r="D31" s="362">
        <v>716329.35</v>
      </c>
      <c r="E31" s="362">
        <v>718560</v>
      </c>
      <c r="F31" s="362">
        <v>718560</v>
      </c>
      <c r="G31" s="362"/>
    </row>
    <row r="32" spans="1:7" ht="12.75" hidden="1">
      <c r="A32" s="328" t="s">
        <v>189</v>
      </c>
      <c r="B32" s="329"/>
      <c r="C32" s="361"/>
      <c r="D32" s="362"/>
      <c r="E32" s="362"/>
      <c r="F32" s="362"/>
      <c r="G32" s="362"/>
    </row>
    <row r="33" spans="1:8" ht="12.75">
      <c r="A33" s="328" t="s">
        <v>190</v>
      </c>
      <c r="B33" s="329"/>
      <c r="C33" s="361"/>
      <c r="D33" s="362">
        <v>129878.52</v>
      </c>
      <c r="E33" s="362">
        <v>134846.7965</v>
      </c>
      <c r="F33" s="362">
        <v>161900.38</v>
      </c>
      <c r="G33" s="362"/>
      <c r="H33" t="s">
        <v>511</v>
      </c>
    </row>
    <row r="34" spans="1:7" ht="12.75" hidden="1">
      <c r="A34" s="328" t="s">
        <v>191</v>
      </c>
      <c r="B34" s="329"/>
      <c r="C34" s="361"/>
      <c r="D34" s="362">
        <v>13321.07</v>
      </c>
      <c r="E34" s="362">
        <v>16235</v>
      </c>
      <c r="F34" s="362"/>
      <c r="G34" s="362"/>
    </row>
    <row r="35" spans="1:7" ht="12.75" hidden="1">
      <c r="A35" s="328" t="s">
        <v>192</v>
      </c>
      <c r="B35" s="329"/>
      <c r="C35" s="361"/>
      <c r="D35" s="362">
        <v>0</v>
      </c>
      <c r="E35" s="362">
        <v>0</v>
      </c>
      <c r="F35" s="362"/>
      <c r="G35" s="362"/>
    </row>
    <row r="36" spans="1:7" ht="12.75" hidden="1">
      <c r="A36" s="328" t="s">
        <v>193</v>
      </c>
      <c r="B36" s="329"/>
      <c r="C36" s="361"/>
      <c r="D36" s="362">
        <v>0</v>
      </c>
      <c r="E36" s="362">
        <v>0</v>
      </c>
      <c r="F36" s="362"/>
      <c r="G36" s="362"/>
    </row>
    <row r="37" spans="1:7" ht="12.75" hidden="1">
      <c r="A37" s="328" t="s">
        <v>194</v>
      </c>
      <c r="B37" s="329"/>
      <c r="C37" s="361"/>
      <c r="D37" s="362"/>
      <c r="E37" s="362"/>
      <c r="F37" s="362"/>
      <c r="G37" s="362"/>
    </row>
    <row r="38" spans="1:7" ht="12.75" hidden="1">
      <c r="A38" s="328" t="s">
        <v>195</v>
      </c>
      <c r="B38" s="329"/>
      <c r="C38" s="361"/>
      <c r="D38" s="362"/>
      <c r="E38" s="362"/>
      <c r="F38" s="362"/>
      <c r="G38" s="362"/>
    </row>
    <row r="39" spans="1:7" ht="12.75" hidden="1">
      <c r="A39" s="328" t="s">
        <v>196</v>
      </c>
      <c r="B39" s="329"/>
      <c r="C39" s="361"/>
      <c r="D39" s="362">
        <v>0</v>
      </c>
      <c r="E39" s="362">
        <v>0</v>
      </c>
      <c r="F39" s="362"/>
      <c r="G39" s="362"/>
    </row>
    <row r="40" spans="1:7" ht="12.75" hidden="1">
      <c r="A40" s="363" t="s">
        <v>197</v>
      </c>
      <c r="B40" s="329"/>
      <c r="C40" s="361"/>
      <c r="D40" s="362"/>
      <c r="E40" s="362">
        <v>4357.155665862638</v>
      </c>
      <c r="F40" s="362"/>
      <c r="G40" s="362"/>
    </row>
    <row r="41" spans="1:7" ht="12.75" hidden="1">
      <c r="A41" s="328" t="s">
        <v>198</v>
      </c>
      <c r="B41" s="329"/>
      <c r="C41" s="361"/>
      <c r="D41" s="362">
        <v>45503.71</v>
      </c>
      <c r="E41" s="362"/>
      <c r="F41" s="362"/>
      <c r="G41" s="362"/>
    </row>
    <row r="42" spans="1:7" ht="12.75">
      <c r="A42" s="328" t="s">
        <v>512</v>
      </c>
      <c r="B42" s="329"/>
      <c r="C42" s="361"/>
      <c r="D42" s="362"/>
      <c r="E42" s="362">
        <v>82738.68953120871</v>
      </c>
      <c r="F42" s="362">
        <v>139145.82</v>
      </c>
      <c r="G42" s="362"/>
    </row>
    <row r="43" spans="1:7" ht="12.75">
      <c r="A43" s="328" t="s">
        <v>199</v>
      </c>
      <c r="B43" s="329"/>
      <c r="C43" s="361"/>
      <c r="D43" s="362"/>
      <c r="E43" s="362"/>
      <c r="F43" s="362">
        <v>164020.35</v>
      </c>
      <c r="G43" s="362"/>
    </row>
    <row r="44" spans="1:7" ht="12.75">
      <c r="A44" s="328" t="s">
        <v>200</v>
      </c>
      <c r="B44" s="329"/>
      <c r="C44" s="361"/>
      <c r="D44" s="362"/>
      <c r="E44" s="362"/>
      <c r="F44" s="362">
        <v>0</v>
      </c>
      <c r="G44" s="362"/>
    </row>
    <row r="45" spans="1:7" ht="12.75" hidden="1">
      <c r="A45" s="328" t="s">
        <v>201</v>
      </c>
      <c r="B45" s="329"/>
      <c r="C45" s="361"/>
      <c r="D45" s="362">
        <v>2516.36</v>
      </c>
      <c r="E45" s="362">
        <v>0</v>
      </c>
      <c r="F45" s="362"/>
      <c r="G45" s="362"/>
    </row>
    <row r="46" spans="1:7" ht="12.75" hidden="1">
      <c r="A46" s="363" t="s">
        <v>202</v>
      </c>
      <c r="B46" s="329"/>
      <c r="C46" s="361"/>
      <c r="D46" s="362">
        <v>0</v>
      </c>
      <c r="E46" s="362">
        <v>80.56</v>
      </c>
      <c r="F46" s="362"/>
      <c r="G46" s="362"/>
    </row>
    <row r="47" spans="1:7" ht="12.75" hidden="1">
      <c r="A47" s="363" t="s">
        <v>203</v>
      </c>
      <c r="B47" s="329"/>
      <c r="C47" s="361"/>
      <c r="D47" s="362">
        <v>0</v>
      </c>
      <c r="E47" s="362">
        <v>0</v>
      </c>
      <c r="F47" s="362"/>
      <c r="G47" s="362"/>
    </row>
    <row r="48" spans="1:7" ht="12.75" hidden="1">
      <c r="A48" s="363" t="s">
        <v>204</v>
      </c>
      <c r="B48" s="329"/>
      <c r="C48" s="361"/>
      <c r="D48" s="362"/>
      <c r="E48" s="362"/>
      <c r="F48" s="362">
        <v>23075.45</v>
      </c>
      <c r="G48" s="362"/>
    </row>
    <row r="49" spans="1:7" ht="12.75" hidden="1">
      <c r="A49" s="363" t="s">
        <v>205</v>
      </c>
      <c r="B49" s="329"/>
      <c r="C49" s="361"/>
      <c r="D49" s="362">
        <v>0</v>
      </c>
      <c r="E49" s="362">
        <v>0</v>
      </c>
      <c r="F49" s="362"/>
      <c r="G49" s="362"/>
    </row>
    <row r="50" spans="1:7" ht="12.75" hidden="1">
      <c r="A50" s="363" t="s">
        <v>206</v>
      </c>
      <c r="B50" s="329"/>
      <c r="C50" s="361"/>
      <c r="D50" s="362">
        <v>0</v>
      </c>
      <c r="E50" s="362">
        <v>0</v>
      </c>
      <c r="F50" s="362"/>
      <c r="G50" s="362"/>
    </row>
    <row r="51" spans="1:7" ht="12.75" hidden="1">
      <c r="A51" s="328" t="s">
        <v>207</v>
      </c>
      <c r="B51" s="329"/>
      <c r="C51" s="361"/>
      <c r="D51" s="362">
        <v>0</v>
      </c>
      <c r="E51" s="362">
        <v>0</v>
      </c>
      <c r="F51" s="362"/>
      <c r="G51" s="362"/>
    </row>
    <row r="52" spans="1:7" ht="12.75">
      <c r="A52" s="328" t="s">
        <v>208</v>
      </c>
      <c r="B52" s="329"/>
      <c r="C52" s="361"/>
      <c r="D52" s="362">
        <v>2237</v>
      </c>
      <c r="E52" s="362">
        <v>4503</v>
      </c>
      <c r="F52" s="362">
        <v>2283</v>
      </c>
      <c r="G52" s="362"/>
    </row>
    <row r="53" spans="1:7" ht="12.75">
      <c r="A53" s="328" t="s">
        <v>513</v>
      </c>
      <c r="B53" s="329"/>
      <c r="C53" s="361"/>
      <c r="D53" s="362">
        <v>4190.16</v>
      </c>
      <c r="E53" s="362"/>
      <c r="F53" s="362"/>
      <c r="G53" s="362"/>
    </row>
    <row r="54" spans="1:7" ht="12.75">
      <c r="A54" s="328" t="s">
        <v>209</v>
      </c>
      <c r="B54" s="329"/>
      <c r="C54" s="361"/>
      <c r="D54" s="362">
        <v>8000</v>
      </c>
      <c r="E54" s="362">
        <v>7000</v>
      </c>
      <c r="F54" s="362">
        <v>7000</v>
      </c>
      <c r="G54" s="362"/>
    </row>
    <row r="55" spans="1:7" ht="12.75" hidden="1">
      <c r="A55" s="328" t="s">
        <v>210</v>
      </c>
      <c r="B55" s="329"/>
      <c r="C55" s="361"/>
      <c r="D55" s="362">
        <v>0</v>
      </c>
      <c r="E55" s="362">
        <v>0</v>
      </c>
      <c r="F55" s="362"/>
      <c r="G55" s="362"/>
    </row>
    <row r="56" spans="1:7" ht="12.75">
      <c r="A56" s="328" t="s">
        <v>211</v>
      </c>
      <c r="B56" s="329"/>
      <c r="C56" s="361"/>
      <c r="D56" s="362">
        <v>12756</v>
      </c>
      <c r="E56" s="362">
        <v>25824.37</v>
      </c>
      <c r="F56" s="362">
        <v>17699</v>
      </c>
      <c r="G56" s="362"/>
    </row>
    <row r="57" spans="1:7" ht="12.75" hidden="1">
      <c r="A57" s="328" t="s">
        <v>212</v>
      </c>
      <c r="B57" s="329"/>
      <c r="C57" s="361"/>
      <c r="D57" s="362">
        <v>3996.63</v>
      </c>
      <c r="E57" s="362">
        <v>0</v>
      </c>
      <c r="F57" s="362"/>
      <c r="G57" s="362"/>
    </row>
    <row r="58" spans="1:7" ht="12.75">
      <c r="A58" s="328" t="s">
        <v>213</v>
      </c>
      <c r="B58" s="329"/>
      <c r="C58" s="361"/>
      <c r="D58" s="362"/>
      <c r="E58" s="362">
        <v>3180.62</v>
      </c>
      <c r="F58" s="362"/>
      <c r="G58" s="362"/>
    </row>
    <row r="59" spans="1:7" ht="12.75" hidden="1">
      <c r="A59" s="328" t="s">
        <v>214</v>
      </c>
      <c r="B59" s="329"/>
      <c r="C59" s="361"/>
      <c r="D59" s="362"/>
      <c r="E59" s="362">
        <v>384</v>
      </c>
      <c r="F59" s="362"/>
      <c r="G59" s="362"/>
    </row>
    <row r="60" spans="1:7" ht="12.75">
      <c r="A60" s="328" t="s">
        <v>215</v>
      </c>
      <c r="B60" s="329"/>
      <c r="C60" s="361"/>
      <c r="D60" s="362"/>
      <c r="E60" s="362"/>
      <c r="F60" s="362">
        <v>2454.34</v>
      </c>
      <c r="G60" s="362"/>
    </row>
    <row r="61" spans="1:7" ht="12.75">
      <c r="A61" s="328" t="s">
        <v>294</v>
      </c>
      <c r="B61" s="329"/>
      <c r="C61" s="361"/>
      <c r="D61" s="362"/>
      <c r="E61" s="362"/>
      <c r="F61" s="362"/>
      <c r="G61" s="362"/>
    </row>
    <row r="62" spans="1:7" ht="12.75">
      <c r="A62" s="328" t="s">
        <v>514</v>
      </c>
      <c r="B62" s="329"/>
      <c r="C62" s="361"/>
      <c r="D62" s="362"/>
      <c r="E62" s="362"/>
      <c r="F62" s="362"/>
      <c r="G62" s="362"/>
    </row>
    <row r="63" spans="1:7" ht="12.75">
      <c r="A63" s="328" t="s">
        <v>515</v>
      </c>
      <c r="B63" s="329"/>
      <c r="C63" s="361"/>
      <c r="D63" s="362">
        <v>130646.2579</v>
      </c>
      <c r="E63" s="362">
        <v>842860.4675660001</v>
      </c>
      <c r="F63" s="362">
        <v>496515.45</v>
      </c>
      <c r="G63" s="362"/>
    </row>
    <row r="64" spans="1:7" ht="12.75">
      <c r="A64" s="328" t="s">
        <v>216</v>
      </c>
      <c r="B64" s="329"/>
      <c r="C64" s="361"/>
      <c r="D64" s="362">
        <v>0</v>
      </c>
      <c r="E64" s="362">
        <v>0</v>
      </c>
      <c r="F64" s="362"/>
      <c r="G64" s="362"/>
    </row>
    <row r="65" spans="1:7" ht="12.75">
      <c r="A65" s="357" t="s">
        <v>217</v>
      </c>
      <c r="B65" s="347"/>
      <c r="C65" s="358"/>
      <c r="D65" s="364">
        <v>-992250.83</v>
      </c>
      <c r="E65" s="364">
        <v>-1077461.1300000001</v>
      </c>
      <c r="F65" s="364">
        <v>-796406.44</v>
      </c>
      <c r="G65" s="364"/>
    </row>
    <row r="66" spans="1:7" ht="13.5" thickBot="1">
      <c r="A66" s="365" t="s">
        <v>218</v>
      </c>
      <c r="B66" s="366"/>
      <c r="C66" s="367"/>
      <c r="D66" s="368">
        <v>-992250.83</v>
      </c>
      <c r="E66" s="368">
        <v>-1077461.1300000001</v>
      </c>
      <c r="F66" s="368">
        <v>-796406.44</v>
      </c>
      <c r="G66" s="368"/>
    </row>
    <row r="67" spans="1:7" ht="13.5" thickBot="1">
      <c r="A67" s="582" t="s">
        <v>219</v>
      </c>
      <c r="B67" s="583"/>
      <c r="C67" s="584"/>
      <c r="D67" s="369">
        <f>D5+D20+D22+D30+D25+D28+D65</f>
        <v>9534910.282100001</v>
      </c>
      <c r="E67" s="369">
        <v>9965021.270736929</v>
      </c>
      <c r="F67" s="369">
        <v>10145893.680000002</v>
      </c>
      <c r="G67" s="369">
        <f>G5+G20+G22+G30+G25+G28+G65</f>
        <v>7316281.160000001</v>
      </c>
    </row>
  </sheetData>
  <sheetProtection/>
  <mergeCells count="4">
    <mergeCell ref="A67:C67"/>
    <mergeCell ref="A2:G2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F110" sqref="F110"/>
    </sheetView>
  </sheetViews>
  <sheetFormatPr defaultColWidth="11.421875" defaultRowHeight="12.75"/>
  <cols>
    <col min="1" max="2" width="7.57421875" style="2" customWidth="1"/>
    <col min="3" max="3" width="87.57421875" style="2" customWidth="1"/>
    <col min="4" max="4" width="11.28125" style="402" customWidth="1"/>
    <col min="5" max="6" width="15.8515625" style="402" customWidth="1"/>
    <col min="7" max="7" width="13.7109375" style="402" customWidth="1"/>
    <col min="8" max="8" width="13.421875" style="402" customWidth="1"/>
    <col min="9" max="16384" width="11.421875" style="2" customWidth="1"/>
  </cols>
  <sheetData>
    <row r="1" spans="1:11" ht="11.25">
      <c r="A1" s="396" t="s">
        <v>229</v>
      </c>
      <c r="B1" s="396" t="s">
        <v>230</v>
      </c>
      <c r="C1" s="396" t="s">
        <v>231</v>
      </c>
      <c r="D1" s="397" t="s">
        <v>232</v>
      </c>
      <c r="E1" s="397" t="s">
        <v>233</v>
      </c>
      <c r="F1" s="397" t="s">
        <v>234</v>
      </c>
      <c r="G1" s="397" t="s">
        <v>235</v>
      </c>
      <c r="H1" s="397" t="s">
        <v>236</v>
      </c>
      <c r="I1" s="543" t="s">
        <v>290</v>
      </c>
      <c r="J1" s="543" t="s">
        <v>496</v>
      </c>
      <c r="K1" s="543" t="s">
        <v>498</v>
      </c>
    </row>
    <row r="2" spans="1:10" ht="11.25">
      <c r="A2" s="398">
        <v>165</v>
      </c>
      <c r="B2" s="398">
        <v>60904</v>
      </c>
      <c r="C2" s="399" t="s">
        <v>255</v>
      </c>
      <c r="D2" s="553">
        <v>0</v>
      </c>
      <c r="E2" s="553">
        <v>55483.18</v>
      </c>
      <c r="F2" s="553">
        <v>55483.18</v>
      </c>
      <c r="G2" s="553">
        <v>55483.14</v>
      </c>
      <c r="H2" s="553">
        <v>55483.14</v>
      </c>
      <c r="I2" s="2" t="s">
        <v>289</v>
      </c>
      <c r="J2" s="2" t="s">
        <v>497</v>
      </c>
    </row>
    <row r="3" spans="1:10" ht="11.25">
      <c r="A3" s="398">
        <v>165</v>
      </c>
      <c r="B3" s="398">
        <v>60905</v>
      </c>
      <c r="C3" s="399" t="s">
        <v>255</v>
      </c>
      <c r="D3" s="553">
        <v>0</v>
      </c>
      <c r="E3" s="553">
        <v>43600</v>
      </c>
      <c r="F3" s="553">
        <v>43600</v>
      </c>
      <c r="G3" s="553">
        <v>35996.31</v>
      </c>
      <c r="H3" s="553">
        <v>35996.31</v>
      </c>
      <c r="I3" s="2" t="s">
        <v>289</v>
      </c>
      <c r="J3" s="2" t="s">
        <v>497</v>
      </c>
    </row>
    <row r="4" spans="1:10" ht="11.25">
      <c r="A4" s="398">
        <v>171</v>
      </c>
      <c r="B4" s="398">
        <v>61900</v>
      </c>
      <c r="C4" s="399" t="s">
        <v>259</v>
      </c>
      <c r="D4" s="553">
        <v>0</v>
      </c>
      <c r="E4" s="553">
        <v>48378.63</v>
      </c>
      <c r="F4" s="553">
        <v>48378.63</v>
      </c>
      <c r="G4" s="553">
        <v>48378.63</v>
      </c>
      <c r="H4" s="553">
        <v>48378.63</v>
      </c>
      <c r="I4" s="2" t="s">
        <v>289</v>
      </c>
      <c r="J4" s="2" t="s">
        <v>497</v>
      </c>
    </row>
    <row r="5" spans="1:10" ht="11.25">
      <c r="A5" s="398">
        <v>171</v>
      </c>
      <c r="B5" s="398">
        <v>62502</v>
      </c>
      <c r="C5" s="399" t="s">
        <v>261</v>
      </c>
      <c r="D5" s="553">
        <v>0</v>
      </c>
      <c r="E5" s="553">
        <v>22113.9</v>
      </c>
      <c r="F5" s="553">
        <v>22113.9</v>
      </c>
      <c r="G5" s="553">
        <v>17290.9</v>
      </c>
      <c r="H5" s="553">
        <v>17290.9</v>
      </c>
      <c r="I5" s="2" t="s">
        <v>289</v>
      </c>
      <c r="J5" s="2" t="s">
        <v>497</v>
      </c>
    </row>
    <row r="6" spans="1:10" ht="11.25">
      <c r="A6" s="398">
        <v>342</v>
      </c>
      <c r="B6" s="398">
        <v>61901</v>
      </c>
      <c r="C6" s="399" t="s">
        <v>271</v>
      </c>
      <c r="D6" s="553">
        <v>0</v>
      </c>
      <c r="E6" s="553">
        <v>17000</v>
      </c>
      <c r="F6" s="553">
        <v>17000</v>
      </c>
      <c r="G6" s="553">
        <v>7685.8</v>
      </c>
      <c r="H6" s="553">
        <v>7685.8</v>
      </c>
      <c r="I6" s="2" t="s">
        <v>289</v>
      </c>
      <c r="J6" s="2" t="s">
        <v>499</v>
      </c>
    </row>
    <row r="7" spans="1:10" ht="11.25">
      <c r="A7" s="398">
        <v>342</v>
      </c>
      <c r="B7" s="398">
        <v>61902</v>
      </c>
      <c r="C7" s="399" t="s">
        <v>272</v>
      </c>
      <c r="D7" s="553">
        <v>0</v>
      </c>
      <c r="E7" s="553">
        <v>6040.32</v>
      </c>
      <c r="F7" s="553">
        <v>6040.32</v>
      </c>
      <c r="G7" s="553">
        <v>6040.32</v>
      </c>
      <c r="H7" s="553">
        <v>6040.32</v>
      </c>
      <c r="I7" s="2" t="s">
        <v>289</v>
      </c>
      <c r="J7" s="2" t="s">
        <v>497</v>
      </c>
    </row>
    <row r="8" spans="1:10" ht="11.25">
      <c r="A8" s="398">
        <v>342</v>
      </c>
      <c r="B8" s="398">
        <v>61903</v>
      </c>
      <c r="C8" s="399" t="s">
        <v>273</v>
      </c>
      <c r="D8" s="553">
        <v>0</v>
      </c>
      <c r="E8" s="553">
        <v>7078.5</v>
      </c>
      <c r="F8" s="553">
        <v>7078.5</v>
      </c>
      <c r="G8" s="553">
        <v>7078.5</v>
      </c>
      <c r="H8" s="553">
        <v>7078.5</v>
      </c>
      <c r="I8" s="2" t="s">
        <v>289</v>
      </c>
      <c r="J8" s="2" t="s">
        <v>497</v>
      </c>
    </row>
    <row r="9" spans="1:10" ht="11.25">
      <c r="A9" s="398">
        <v>342</v>
      </c>
      <c r="B9" s="398">
        <v>62504</v>
      </c>
      <c r="C9" s="399" t="s">
        <v>275</v>
      </c>
      <c r="D9" s="553">
        <v>0</v>
      </c>
      <c r="E9" s="553">
        <v>44346.5</v>
      </c>
      <c r="F9" s="553">
        <v>44346.5</v>
      </c>
      <c r="G9" s="553">
        <v>44346.5</v>
      </c>
      <c r="H9" s="553">
        <v>44346.5</v>
      </c>
      <c r="I9" s="2" t="s">
        <v>289</v>
      </c>
      <c r="J9" s="2" t="s">
        <v>497</v>
      </c>
    </row>
    <row r="10" spans="1:10" ht="11.25">
      <c r="A10" s="398">
        <v>342</v>
      </c>
      <c r="B10" s="398">
        <v>63202</v>
      </c>
      <c r="C10" s="399" t="s">
        <v>277</v>
      </c>
      <c r="D10" s="553">
        <v>0</v>
      </c>
      <c r="E10" s="553">
        <v>46583.79</v>
      </c>
      <c r="F10" s="553">
        <v>46583.79</v>
      </c>
      <c r="G10" s="553">
        <v>46583.79</v>
      </c>
      <c r="H10" s="553">
        <v>46583.79</v>
      </c>
      <c r="I10" s="2" t="s">
        <v>289</v>
      </c>
      <c r="J10" s="2" t="s">
        <v>497</v>
      </c>
    </row>
    <row r="11" spans="1:10" ht="11.25">
      <c r="A11" s="398">
        <v>933</v>
      </c>
      <c r="B11" s="398">
        <v>61919</v>
      </c>
      <c r="C11" s="399" t="s">
        <v>284</v>
      </c>
      <c r="D11" s="553">
        <v>0</v>
      </c>
      <c r="E11" s="553">
        <v>64999.6</v>
      </c>
      <c r="F11" s="553">
        <v>64999.6</v>
      </c>
      <c r="G11" s="553">
        <v>64994.73</v>
      </c>
      <c r="H11" s="553">
        <v>64994.73</v>
      </c>
      <c r="I11" s="2" t="s">
        <v>289</v>
      </c>
      <c r="J11" s="2" t="s">
        <v>497</v>
      </c>
    </row>
    <row r="12" spans="1:10" ht="11.25">
      <c r="A12" s="398">
        <v>933</v>
      </c>
      <c r="B12" s="398">
        <v>61920</v>
      </c>
      <c r="C12" s="399" t="s">
        <v>284</v>
      </c>
      <c r="D12" s="553">
        <v>0</v>
      </c>
      <c r="E12" s="553">
        <v>40641.78</v>
      </c>
      <c r="F12" s="553">
        <v>40641.78</v>
      </c>
      <c r="G12" s="553">
        <v>40641.78</v>
      </c>
      <c r="H12" s="553">
        <v>40641.78</v>
      </c>
      <c r="I12" s="2" t="s">
        <v>289</v>
      </c>
      <c r="J12" s="2" t="s">
        <v>497</v>
      </c>
    </row>
    <row r="13" spans="1:10" ht="11.25">
      <c r="A13" s="398">
        <v>933</v>
      </c>
      <c r="B13" s="398">
        <v>61921</v>
      </c>
      <c r="C13" s="399" t="s">
        <v>285</v>
      </c>
      <c r="D13" s="553">
        <v>0</v>
      </c>
      <c r="E13" s="553">
        <v>13994.86</v>
      </c>
      <c r="F13" s="553">
        <v>13994.86</v>
      </c>
      <c r="G13" s="553">
        <v>13994.86</v>
      </c>
      <c r="H13" s="553">
        <v>13994.86</v>
      </c>
      <c r="I13" s="2" t="s">
        <v>289</v>
      </c>
      <c r="J13" s="2" t="s">
        <v>497</v>
      </c>
    </row>
    <row r="14" spans="1:10" ht="11.25">
      <c r="A14" s="398">
        <v>933</v>
      </c>
      <c r="B14" s="398">
        <v>61922</v>
      </c>
      <c r="C14" s="399" t="s">
        <v>286</v>
      </c>
      <c r="D14" s="553">
        <v>0</v>
      </c>
      <c r="E14" s="553">
        <v>19467.34</v>
      </c>
      <c r="F14" s="553">
        <v>19467.34</v>
      </c>
      <c r="G14" s="553">
        <v>19467.34</v>
      </c>
      <c r="H14" s="553">
        <v>19467.34</v>
      </c>
      <c r="I14" s="2" t="s">
        <v>289</v>
      </c>
      <c r="J14" s="2" t="s">
        <v>497</v>
      </c>
    </row>
    <row r="15" spans="1:10" ht="11.25">
      <c r="A15" s="398">
        <v>933</v>
      </c>
      <c r="B15" s="398">
        <v>63202</v>
      </c>
      <c r="C15" s="399" t="s">
        <v>287</v>
      </c>
      <c r="D15" s="553">
        <v>0</v>
      </c>
      <c r="E15" s="553">
        <v>2500</v>
      </c>
      <c r="F15" s="553">
        <v>2500</v>
      </c>
      <c r="G15" s="553">
        <v>2469.61</v>
      </c>
      <c r="H15" s="553">
        <v>2469.61</v>
      </c>
      <c r="I15" s="2" t="s">
        <v>289</v>
      </c>
      <c r="J15" s="2" t="s">
        <v>497</v>
      </c>
    </row>
    <row r="16" spans="1:10" ht="11.25">
      <c r="A16" s="398">
        <v>1532</v>
      </c>
      <c r="B16" s="398">
        <v>61904</v>
      </c>
      <c r="C16" s="399" t="s">
        <v>246</v>
      </c>
      <c r="D16" s="553">
        <v>0</v>
      </c>
      <c r="E16" s="553">
        <v>131741.9</v>
      </c>
      <c r="F16" s="553">
        <v>131741.9</v>
      </c>
      <c r="G16" s="553">
        <v>131741.58</v>
      </c>
      <c r="H16" s="553">
        <v>131741.58</v>
      </c>
      <c r="I16" s="2" t="s">
        <v>289</v>
      </c>
      <c r="J16" s="2" t="s">
        <v>497</v>
      </c>
    </row>
    <row r="17" spans="1:11" ht="11.25">
      <c r="A17" s="398">
        <v>1621</v>
      </c>
      <c r="B17" s="398">
        <v>60901</v>
      </c>
      <c r="C17" s="399" t="s">
        <v>252</v>
      </c>
      <c r="D17" s="553">
        <v>0</v>
      </c>
      <c r="E17" s="553">
        <v>601370</v>
      </c>
      <c r="F17" s="553">
        <v>601370</v>
      </c>
      <c r="G17" s="553">
        <v>601370</v>
      </c>
      <c r="H17" s="553">
        <v>121770.72</v>
      </c>
      <c r="I17" s="2" t="s">
        <v>289</v>
      </c>
      <c r="J17" s="2" t="s">
        <v>496</v>
      </c>
      <c r="K17" s="2" t="s">
        <v>500</v>
      </c>
    </row>
    <row r="18" spans="1:10" ht="11.25">
      <c r="A18" s="398">
        <v>1621</v>
      </c>
      <c r="B18" s="398">
        <v>62500</v>
      </c>
      <c r="C18" s="399" t="s">
        <v>253</v>
      </c>
      <c r="D18" s="553">
        <v>0</v>
      </c>
      <c r="E18" s="553">
        <v>9075</v>
      </c>
      <c r="F18" s="553">
        <v>9075</v>
      </c>
      <c r="G18" s="553">
        <v>9075</v>
      </c>
      <c r="H18" s="553">
        <v>9075</v>
      </c>
      <c r="I18" s="2" t="s">
        <v>289</v>
      </c>
      <c r="J18" s="2" t="s">
        <v>497</v>
      </c>
    </row>
    <row r="19" spans="1:10" ht="11.25">
      <c r="A19" s="398">
        <v>3321</v>
      </c>
      <c r="B19" s="398">
        <v>63201</v>
      </c>
      <c r="C19" s="399" t="s">
        <v>266</v>
      </c>
      <c r="D19" s="553">
        <v>0</v>
      </c>
      <c r="E19" s="553">
        <v>2500</v>
      </c>
      <c r="F19" s="553">
        <v>2500</v>
      </c>
      <c r="G19" s="553">
        <v>2499</v>
      </c>
      <c r="H19" s="553">
        <v>2499</v>
      </c>
      <c r="I19" s="2" t="s">
        <v>289</v>
      </c>
      <c r="J19" s="2" t="s">
        <v>497</v>
      </c>
    </row>
    <row r="20" spans="1:8" ht="11.25">
      <c r="A20" s="398"/>
      <c r="B20" s="398"/>
      <c r="C20" s="399"/>
      <c r="D20" s="553"/>
      <c r="E20" s="553"/>
      <c r="F20" s="553"/>
      <c r="G20" s="553"/>
      <c r="H20" s="553"/>
    </row>
    <row r="21" spans="1:10" ht="11.25">
      <c r="A21" s="398">
        <v>132</v>
      </c>
      <c r="B21" s="398">
        <v>64100</v>
      </c>
      <c r="C21" s="399" t="s">
        <v>238</v>
      </c>
      <c r="D21" s="553">
        <v>2000</v>
      </c>
      <c r="E21" s="553">
        <v>-2000</v>
      </c>
      <c r="F21" s="553">
        <v>0</v>
      </c>
      <c r="G21" s="553">
        <v>0</v>
      </c>
      <c r="H21" s="553">
        <v>0</v>
      </c>
      <c r="I21" s="2" t="s">
        <v>153</v>
      </c>
      <c r="J21" s="2" t="s">
        <v>499</v>
      </c>
    </row>
    <row r="22" spans="1:10" ht="11.25">
      <c r="A22" s="398">
        <v>133</v>
      </c>
      <c r="B22" s="398">
        <v>62501</v>
      </c>
      <c r="C22" s="399" t="s">
        <v>239</v>
      </c>
      <c r="D22" s="553">
        <v>8000.02</v>
      </c>
      <c r="E22" s="553">
        <v>39988.45</v>
      </c>
      <c r="F22" s="553">
        <v>47988.47</v>
      </c>
      <c r="G22" s="553">
        <v>34388.37</v>
      </c>
      <c r="H22" s="553">
        <v>34388.37</v>
      </c>
      <c r="I22" s="2" t="s">
        <v>153</v>
      </c>
      <c r="J22" s="2" t="s">
        <v>497</v>
      </c>
    </row>
    <row r="23" spans="1:10" ht="11.25">
      <c r="A23" s="398">
        <v>165</v>
      </c>
      <c r="B23" s="398">
        <v>62500</v>
      </c>
      <c r="C23" s="399" t="s">
        <v>257</v>
      </c>
      <c r="D23" s="553">
        <v>8333.35</v>
      </c>
      <c r="E23" s="553">
        <v>41662.73</v>
      </c>
      <c r="F23" s="553">
        <v>49996.08</v>
      </c>
      <c r="G23" s="553">
        <v>42350</v>
      </c>
      <c r="H23" s="553">
        <v>42350</v>
      </c>
      <c r="I23" s="2" t="s">
        <v>153</v>
      </c>
      <c r="J23" s="2" t="s">
        <v>497</v>
      </c>
    </row>
    <row r="24" spans="1:10" ht="11.25">
      <c r="A24" s="398">
        <v>320</v>
      </c>
      <c r="B24" s="398">
        <v>63600</v>
      </c>
      <c r="C24" s="399" t="s">
        <v>264</v>
      </c>
      <c r="D24" s="553">
        <v>333.33</v>
      </c>
      <c r="E24" s="553">
        <v>0</v>
      </c>
      <c r="F24" s="553">
        <v>333.33</v>
      </c>
      <c r="G24" s="553">
        <v>0</v>
      </c>
      <c r="H24" s="553">
        <v>0</v>
      </c>
      <c r="I24" s="2" t="s">
        <v>153</v>
      </c>
      <c r="J24" s="2" t="s">
        <v>497</v>
      </c>
    </row>
    <row r="25" spans="1:10" ht="11.25">
      <c r="A25" s="398">
        <v>337</v>
      </c>
      <c r="B25" s="398">
        <v>63600</v>
      </c>
      <c r="C25" s="399" t="s">
        <v>270</v>
      </c>
      <c r="D25" s="553">
        <v>500</v>
      </c>
      <c r="E25" s="553">
        <v>0</v>
      </c>
      <c r="F25" s="553">
        <v>500</v>
      </c>
      <c r="G25" s="553">
        <v>0</v>
      </c>
      <c r="H25" s="553">
        <v>0</v>
      </c>
      <c r="I25" s="2" t="s">
        <v>153</v>
      </c>
      <c r="J25" s="2" t="s">
        <v>497</v>
      </c>
    </row>
    <row r="26" spans="1:10" ht="11.25">
      <c r="A26" s="398">
        <v>342</v>
      </c>
      <c r="B26" s="398">
        <v>63200</v>
      </c>
      <c r="C26" s="399" t="s">
        <v>276</v>
      </c>
      <c r="D26" s="553">
        <v>11370.74</v>
      </c>
      <c r="E26" s="553">
        <v>85317.73</v>
      </c>
      <c r="F26" s="553">
        <v>96688.47</v>
      </c>
      <c r="G26" s="553">
        <v>93309.68</v>
      </c>
      <c r="H26" s="553">
        <v>93309.68</v>
      </c>
      <c r="I26" s="2" t="s">
        <v>153</v>
      </c>
      <c r="J26" s="2" t="s">
        <v>497</v>
      </c>
    </row>
    <row r="27" spans="1:10" ht="11.25">
      <c r="A27" s="552">
        <v>920</v>
      </c>
      <c r="B27" s="552">
        <v>63601</v>
      </c>
      <c r="C27" s="544" t="s">
        <v>264</v>
      </c>
      <c r="D27" s="553">
        <v>3333.34</v>
      </c>
      <c r="E27" s="553">
        <v>0</v>
      </c>
      <c r="F27" s="553">
        <v>3333.34</v>
      </c>
      <c r="G27" s="553">
        <v>3311.04</v>
      </c>
      <c r="H27" s="553">
        <v>3311.04</v>
      </c>
      <c r="I27" s="2" t="s">
        <v>153</v>
      </c>
      <c r="J27" s="2" t="s">
        <v>497</v>
      </c>
    </row>
    <row r="28" spans="1:11" ht="11.25">
      <c r="A28" s="398">
        <v>1532</v>
      </c>
      <c r="B28" s="398">
        <v>61900</v>
      </c>
      <c r="C28" s="399" t="s">
        <v>245</v>
      </c>
      <c r="D28" s="553">
        <v>29000.06</v>
      </c>
      <c r="E28" s="553">
        <v>144980.38</v>
      </c>
      <c r="F28" s="553">
        <v>173980.44</v>
      </c>
      <c r="G28" s="553">
        <v>117975</v>
      </c>
      <c r="H28" s="553">
        <v>0</v>
      </c>
      <c r="I28" s="2" t="s">
        <v>153</v>
      </c>
      <c r="J28" s="2" t="s">
        <v>496</v>
      </c>
      <c r="K28" s="2" t="s">
        <v>501</v>
      </c>
    </row>
    <row r="29" spans="1:8" ht="11.25">
      <c r="A29" s="398"/>
      <c r="B29" s="398"/>
      <c r="C29" s="399"/>
      <c r="D29" s="553"/>
      <c r="E29" s="553"/>
      <c r="F29" s="553"/>
      <c r="G29" s="553"/>
      <c r="H29" s="553"/>
    </row>
    <row r="30" spans="1:11" ht="11.25">
      <c r="A30" s="398">
        <v>1621</v>
      </c>
      <c r="B30" s="398">
        <v>60900</v>
      </c>
      <c r="C30" s="399" t="s">
        <v>251</v>
      </c>
      <c r="D30" s="553">
        <v>0</v>
      </c>
      <c r="E30" s="553">
        <v>20963.23</v>
      </c>
      <c r="F30" s="553">
        <v>20963.23</v>
      </c>
      <c r="G30" s="553">
        <v>0</v>
      </c>
      <c r="H30" s="553">
        <v>0</v>
      </c>
      <c r="I30" s="2" t="s">
        <v>293</v>
      </c>
      <c r="J30" s="2" t="s">
        <v>508</v>
      </c>
      <c r="K30" s="2" t="s">
        <v>501</v>
      </c>
    </row>
    <row r="31" spans="1:8" ht="11.25">
      <c r="A31" s="398"/>
      <c r="B31" s="398"/>
      <c r="C31" s="399"/>
      <c r="D31" s="553"/>
      <c r="E31" s="553"/>
      <c r="F31" s="553"/>
      <c r="G31" s="553"/>
      <c r="H31" s="553"/>
    </row>
    <row r="32" spans="1:11" ht="11.25">
      <c r="A32" s="398">
        <v>132</v>
      </c>
      <c r="B32" s="398">
        <v>62300</v>
      </c>
      <c r="C32" s="399" t="s">
        <v>237</v>
      </c>
      <c r="D32" s="553">
        <v>3000</v>
      </c>
      <c r="E32" s="553">
        <v>0</v>
      </c>
      <c r="F32" s="553">
        <v>3000</v>
      </c>
      <c r="G32" s="553">
        <v>0</v>
      </c>
      <c r="H32" s="553">
        <v>0</v>
      </c>
      <c r="J32" s="2" t="s">
        <v>503</v>
      </c>
      <c r="K32" s="2" t="s">
        <v>502</v>
      </c>
    </row>
    <row r="33" spans="1:10" ht="11.25">
      <c r="A33" s="550">
        <v>132</v>
      </c>
      <c r="B33" s="550">
        <v>63600</v>
      </c>
      <c r="C33" s="549" t="s">
        <v>267</v>
      </c>
      <c r="D33" s="553">
        <v>0</v>
      </c>
      <c r="E33" s="553">
        <v>2000</v>
      </c>
      <c r="F33" s="553">
        <v>2000</v>
      </c>
      <c r="G33" s="553">
        <v>1160.39</v>
      </c>
      <c r="H33" s="553">
        <v>1160.39</v>
      </c>
      <c r="J33" s="2" t="s">
        <v>499</v>
      </c>
    </row>
    <row r="34" spans="1:10" ht="11.25">
      <c r="A34" s="398">
        <v>133</v>
      </c>
      <c r="B34" s="398">
        <v>62502</v>
      </c>
      <c r="C34" s="399" t="s">
        <v>240</v>
      </c>
      <c r="D34" s="553">
        <v>0</v>
      </c>
      <c r="E34" s="553">
        <v>18000</v>
      </c>
      <c r="F34" s="553">
        <v>18000</v>
      </c>
      <c r="G34" s="553">
        <v>17998.62</v>
      </c>
      <c r="H34" s="553">
        <v>17998.62</v>
      </c>
      <c r="J34" s="2" t="s">
        <v>499</v>
      </c>
    </row>
    <row r="35" spans="1:10" ht="11.25">
      <c r="A35" s="398">
        <v>135</v>
      </c>
      <c r="B35" s="398">
        <v>61900</v>
      </c>
      <c r="C35" s="399" t="s">
        <v>241</v>
      </c>
      <c r="D35" s="553">
        <v>0</v>
      </c>
      <c r="E35" s="553">
        <v>4197.49</v>
      </c>
      <c r="F35" s="553">
        <v>4197.49</v>
      </c>
      <c r="G35" s="553">
        <v>4197.49</v>
      </c>
      <c r="H35" s="553">
        <v>4197.49</v>
      </c>
      <c r="J35" s="2" t="s">
        <v>497</v>
      </c>
    </row>
    <row r="36" spans="1:11" ht="11.25">
      <c r="A36" s="552">
        <v>135</v>
      </c>
      <c r="B36" s="552">
        <v>62400</v>
      </c>
      <c r="C36" s="551" t="s">
        <v>295</v>
      </c>
      <c r="D36" s="553">
        <v>0</v>
      </c>
      <c r="E36" s="553">
        <v>100000</v>
      </c>
      <c r="F36" s="553">
        <v>100000</v>
      </c>
      <c r="G36" s="553">
        <v>88765.6</v>
      </c>
      <c r="H36" s="553">
        <v>0</v>
      </c>
      <c r="J36" s="2" t="s">
        <v>496</v>
      </c>
      <c r="K36" s="2" t="s">
        <v>504</v>
      </c>
    </row>
    <row r="37" spans="1:10" ht="11.25">
      <c r="A37" s="398">
        <v>135</v>
      </c>
      <c r="B37" s="398">
        <v>63400</v>
      </c>
      <c r="C37" s="399" t="s">
        <v>242</v>
      </c>
      <c r="D37" s="553">
        <v>4000</v>
      </c>
      <c r="E37" s="553">
        <v>0</v>
      </c>
      <c r="F37" s="553">
        <v>4000</v>
      </c>
      <c r="G37" s="553">
        <v>0</v>
      </c>
      <c r="H37" s="553">
        <v>0</v>
      </c>
      <c r="J37" s="2" t="s">
        <v>497</v>
      </c>
    </row>
    <row r="38" spans="1:10" ht="11.25">
      <c r="A38" s="398">
        <v>150</v>
      </c>
      <c r="B38" s="398">
        <v>60900</v>
      </c>
      <c r="C38" s="399" t="s">
        <v>243</v>
      </c>
      <c r="D38" s="553">
        <v>200000</v>
      </c>
      <c r="E38" s="553">
        <v>-192964</v>
      </c>
      <c r="F38" s="553">
        <v>7036</v>
      </c>
      <c r="G38" s="553">
        <v>0</v>
      </c>
      <c r="H38" s="553">
        <v>0</v>
      </c>
      <c r="J38" s="2" t="s">
        <v>499</v>
      </c>
    </row>
    <row r="39" spans="1:10" ht="11.25">
      <c r="A39" s="398">
        <v>150</v>
      </c>
      <c r="B39" s="398">
        <v>68100</v>
      </c>
      <c r="C39" s="399" t="s">
        <v>244</v>
      </c>
      <c r="D39" s="553">
        <v>0</v>
      </c>
      <c r="E39" s="553">
        <v>1773.75</v>
      </c>
      <c r="F39" s="553">
        <v>1773.75</v>
      </c>
      <c r="G39" s="553">
        <v>0</v>
      </c>
      <c r="H39" s="553">
        <v>0</v>
      </c>
      <c r="J39" s="2" t="s">
        <v>499</v>
      </c>
    </row>
    <row r="40" spans="1:10" ht="11.25">
      <c r="A40" s="398">
        <v>160</v>
      </c>
      <c r="B40" s="398">
        <v>62300</v>
      </c>
      <c r="C40" s="399" t="s">
        <v>250</v>
      </c>
      <c r="D40" s="553">
        <v>0</v>
      </c>
      <c r="E40" s="553">
        <v>4991.25</v>
      </c>
      <c r="F40" s="553">
        <v>4991.25</v>
      </c>
      <c r="G40" s="553">
        <v>4991.25</v>
      </c>
      <c r="H40" s="553">
        <v>4991.25</v>
      </c>
      <c r="J40" s="2" t="s">
        <v>497</v>
      </c>
    </row>
    <row r="41" spans="1:10" ht="11.25">
      <c r="A41" s="398">
        <v>163</v>
      </c>
      <c r="B41" s="398">
        <v>62300</v>
      </c>
      <c r="C41" s="399" t="s">
        <v>254</v>
      </c>
      <c r="D41" s="553">
        <v>5000</v>
      </c>
      <c r="E41" s="553">
        <v>5995.55</v>
      </c>
      <c r="F41" s="553">
        <v>10995.55</v>
      </c>
      <c r="G41" s="553">
        <v>5995.55</v>
      </c>
      <c r="H41" s="553">
        <v>5995.55</v>
      </c>
      <c r="J41" s="2" t="s">
        <v>497</v>
      </c>
    </row>
    <row r="42" spans="1:10" ht="11.25">
      <c r="A42" s="552">
        <v>163</v>
      </c>
      <c r="B42" s="552">
        <v>62301</v>
      </c>
      <c r="C42" s="551" t="s">
        <v>296</v>
      </c>
      <c r="D42" s="553">
        <v>0</v>
      </c>
      <c r="E42" s="553">
        <v>25000</v>
      </c>
      <c r="F42" s="553">
        <v>25000</v>
      </c>
      <c r="G42" s="553">
        <v>9930.9</v>
      </c>
      <c r="H42" s="553">
        <v>9930.9</v>
      </c>
      <c r="J42" s="2" t="s">
        <v>499</v>
      </c>
    </row>
    <row r="43" spans="1:11" ht="11.25">
      <c r="A43" s="552">
        <v>164</v>
      </c>
      <c r="B43" s="552">
        <v>62200</v>
      </c>
      <c r="C43" s="549" t="s">
        <v>247</v>
      </c>
      <c r="D43" s="553">
        <v>0</v>
      </c>
      <c r="E43" s="553">
        <v>80000</v>
      </c>
      <c r="F43" s="553">
        <v>80000</v>
      </c>
      <c r="G43" s="553">
        <v>79997.94</v>
      </c>
      <c r="H43" s="553">
        <v>48387.9</v>
      </c>
      <c r="J43" s="2" t="s">
        <v>496</v>
      </c>
      <c r="K43" s="2" t="s">
        <v>509</v>
      </c>
    </row>
    <row r="44" spans="1:10" ht="11.25">
      <c r="A44" s="398">
        <v>165</v>
      </c>
      <c r="B44" s="398">
        <v>62300</v>
      </c>
      <c r="C44" s="399" t="s">
        <v>256</v>
      </c>
      <c r="D44" s="553">
        <v>1000</v>
      </c>
      <c r="E44" s="553">
        <v>0</v>
      </c>
      <c r="F44" s="553">
        <v>1000</v>
      </c>
      <c r="G44" s="553">
        <v>0</v>
      </c>
      <c r="H44" s="553">
        <v>0</v>
      </c>
      <c r="J44" s="2" t="s">
        <v>497</v>
      </c>
    </row>
    <row r="45" spans="1:10" ht="11.25">
      <c r="A45" s="398">
        <v>165</v>
      </c>
      <c r="B45" s="398">
        <v>62501</v>
      </c>
      <c r="C45" s="551" t="s">
        <v>263</v>
      </c>
      <c r="D45" s="553">
        <v>0</v>
      </c>
      <c r="E45" s="553">
        <v>18150</v>
      </c>
      <c r="F45" s="553">
        <v>18150</v>
      </c>
      <c r="G45" s="553">
        <v>0</v>
      </c>
      <c r="H45" s="553">
        <v>0</v>
      </c>
      <c r="J45" s="2" t="s">
        <v>499</v>
      </c>
    </row>
    <row r="46" spans="1:11" ht="11.25">
      <c r="A46" s="398">
        <v>165</v>
      </c>
      <c r="B46" s="398">
        <v>63300</v>
      </c>
      <c r="C46" s="551" t="s">
        <v>256</v>
      </c>
      <c r="D46" s="553">
        <v>0</v>
      </c>
      <c r="E46" s="553">
        <v>48400</v>
      </c>
      <c r="F46" s="553">
        <v>48400</v>
      </c>
      <c r="G46" s="553">
        <v>18022.73</v>
      </c>
      <c r="H46" s="553">
        <v>0</v>
      </c>
      <c r="J46" s="2" t="s">
        <v>496</v>
      </c>
      <c r="K46" s="2" t="s">
        <v>510</v>
      </c>
    </row>
    <row r="47" spans="1:8" ht="11.25">
      <c r="A47" s="398">
        <v>170</v>
      </c>
      <c r="B47" s="398">
        <v>62100</v>
      </c>
      <c r="C47" s="399" t="s">
        <v>258</v>
      </c>
      <c r="D47" s="553">
        <v>5000</v>
      </c>
      <c r="E47" s="553">
        <v>1721</v>
      </c>
      <c r="F47" s="553">
        <v>6721</v>
      </c>
      <c r="G47" s="553">
        <v>6663.91</v>
      </c>
      <c r="H47" s="553">
        <v>2464</v>
      </c>
    </row>
    <row r="48" spans="1:8" ht="11.25">
      <c r="A48" s="398">
        <v>171</v>
      </c>
      <c r="B48" s="398">
        <v>61901</v>
      </c>
      <c r="C48" s="399" t="s">
        <v>260</v>
      </c>
      <c r="D48" s="553">
        <v>0</v>
      </c>
      <c r="E48" s="553">
        <v>9300</v>
      </c>
      <c r="F48" s="553">
        <v>9300</v>
      </c>
      <c r="G48" s="553">
        <v>9202.05</v>
      </c>
      <c r="H48" s="553">
        <v>9202.05</v>
      </c>
    </row>
    <row r="49" spans="1:8" ht="11.25">
      <c r="A49" s="398">
        <v>231</v>
      </c>
      <c r="B49" s="398">
        <v>62300</v>
      </c>
      <c r="C49" s="551" t="s">
        <v>256</v>
      </c>
      <c r="D49" s="553">
        <v>0</v>
      </c>
      <c r="E49" s="553">
        <v>31900</v>
      </c>
      <c r="F49" s="553">
        <v>31900</v>
      </c>
      <c r="G49" s="553">
        <v>31222.51</v>
      </c>
      <c r="H49" s="553">
        <v>0</v>
      </c>
    </row>
    <row r="50" spans="1:8" ht="11.25">
      <c r="A50" s="398">
        <v>231</v>
      </c>
      <c r="B50" s="398">
        <v>62500</v>
      </c>
      <c r="C50" s="399" t="s">
        <v>262</v>
      </c>
      <c r="D50" s="553">
        <v>0</v>
      </c>
      <c r="E50" s="553">
        <v>5050</v>
      </c>
      <c r="F50" s="553">
        <v>5050</v>
      </c>
      <c r="G50" s="553">
        <v>4816.14</v>
      </c>
      <c r="H50" s="553">
        <v>419</v>
      </c>
    </row>
    <row r="51" spans="1:10" ht="11.25">
      <c r="A51" s="398">
        <v>231</v>
      </c>
      <c r="B51" s="398">
        <v>62501</v>
      </c>
      <c r="C51" s="399" t="s">
        <v>263</v>
      </c>
      <c r="D51" s="553">
        <v>0</v>
      </c>
      <c r="E51" s="553">
        <v>781</v>
      </c>
      <c r="F51" s="553">
        <v>781</v>
      </c>
      <c r="G51" s="553">
        <v>780.45</v>
      </c>
      <c r="H51" s="553">
        <v>780.45</v>
      </c>
      <c r="J51" s="2" t="s">
        <v>499</v>
      </c>
    </row>
    <row r="52" spans="1:8" ht="11.25">
      <c r="A52" s="398">
        <v>320</v>
      </c>
      <c r="B52" s="398">
        <v>62300</v>
      </c>
      <c r="C52" s="549" t="s">
        <v>256</v>
      </c>
      <c r="D52" s="553">
        <v>0</v>
      </c>
      <c r="E52" s="553">
        <v>10000</v>
      </c>
      <c r="F52" s="553">
        <v>10000</v>
      </c>
      <c r="G52" s="553">
        <v>9906.88</v>
      </c>
      <c r="H52" s="553">
        <v>0</v>
      </c>
    </row>
    <row r="53" spans="1:8" ht="11.25">
      <c r="A53" s="552">
        <v>320</v>
      </c>
      <c r="B53" s="552">
        <v>62301</v>
      </c>
      <c r="C53" s="551" t="s">
        <v>248</v>
      </c>
      <c r="D53" s="553">
        <v>0</v>
      </c>
      <c r="E53" s="553">
        <v>3200</v>
      </c>
      <c r="F53" s="553">
        <v>3200</v>
      </c>
      <c r="G53" s="553">
        <v>2646.27</v>
      </c>
      <c r="H53" s="553">
        <v>0</v>
      </c>
    </row>
    <row r="54" spans="1:8" ht="11.25">
      <c r="A54" s="398">
        <v>320</v>
      </c>
      <c r="B54" s="398">
        <v>62500</v>
      </c>
      <c r="C54" s="399" t="s">
        <v>263</v>
      </c>
      <c r="D54" s="553">
        <v>1000</v>
      </c>
      <c r="E54" s="553">
        <v>1100</v>
      </c>
      <c r="F54" s="553">
        <v>2100</v>
      </c>
      <c r="G54" s="553">
        <v>1522.18</v>
      </c>
      <c r="H54" s="553">
        <v>462.22</v>
      </c>
    </row>
    <row r="55" spans="1:8" ht="11.25">
      <c r="A55" s="398">
        <v>330</v>
      </c>
      <c r="B55" s="398">
        <v>62300</v>
      </c>
      <c r="C55" s="399" t="s">
        <v>265</v>
      </c>
      <c r="D55" s="553">
        <v>3000</v>
      </c>
      <c r="E55" s="553">
        <v>0</v>
      </c>
      <c r="F55" s="553">
        <v>3000</v>
      </c>
      <c r="G55" s="553">
        <v>2182.38</v>
      </c>
      <c r="H55" s="553">
        <v>2182.38</v>
      </c>
    </row>
    <row r="56" spans="1:8" ht="11.25">
      <c r="A56" s="398">
        <v>330</v>
      </c>
      <c r="B56" s="398">
        <v>62500</v>
      </c>
      <c r="C56" s="399" t="s">
        <v>263</v>
      </c>
      <c r="D56" s="553">
        <v>0</v>
      </c>
      <c r="E56" s="553">
        <v>420</v>
      </c>
      <c r="F56" s="553">
        <v>420</v>
      </c>
      <c r="G56" s="553">
        <v>420</v>
      </c>
      <c r="H56" s="553">
        <v>420</v>
      </c>
    </row>
    <row r="57" spans="1:8" ht="11.25">
      <c r="A57" s="398">
        <v>333</v>
      </c>
      <c r="B57" s="398">
        <v>62200</v>
      </c>
      <c r="C57" s="551" t="s">
        <v>505</v>
      </c>
      <c r="D57" s="553">
        <v>0</v>
      </c>
      <c r="E57" s="553">
        <v>441650</v>
      </c>
      <c r="F57" s="553">
        <v>441650</v>
      </c>
      <c r="G57" s="553">
        <v>0</v>
      </c>
      <c r="H57" s="553">
        <v>0</v>
      </c>
    </row>
    <row r="58" spans="1:8" ht="11.25">
      <c r="A58" s="550">
        <v>333</v>
      </c>
      <c r="B58" s="550">
        <v>62201</v>
      </c>
      <c r="C58" s="549" t="s">
        <v>506</v>
      </c>
      <c r="D58" s="553">
        <v>0</v>
      </c>
      <c r="E58" s="553">
        <v>79000</v>
      </c>
      <c r="F58" s="553">
        <v>79000</v>
      </c>
      <c r="G58" s="553">
        <v>0</v>
      </c>
      <c r="H58" s="553">
        <v>0</v>
      </c>
    </row>
    <row r="59" spans="1:8" ht="11.25">
      <c r="A59" s="398">
        <v>334</v>
      </c>
      <c r="B59" s="398">
        <v>62500</v>
      </c>
      <c r="C59" s="399" t="s">
        <v>263</v>
      </c>
      <c r="D59" s="553">
        <v>2000</v>
      </c>
      <c r="E59" s="553">
        <v>0</v>
      </c>
      <c r="F59" s="553">
        <v>2000</v>
      </c>
      <c r="G59" s="553">
        <v>0</v>
      </c>
      <c r="H59" s="553">
        <v>0</v>
      </c>
    </row>
    <row r="60" spans="1:8" ht="11.25">
      <c r="A60" s="398">
        <v>334</v>
      </c>
      <c r="B60" s="398">
        <v>62900</v>
      </c>
      <c r="C60" s="399" t="s">
        <v>268</v>
      </c>
      <c r="D60" s="553">
        <v>2000</v>
      </c>
      <c r="E60" s="553">
        <v>0</v>
      </c>
      <c r="F60" s="553">
        <v>2000</v>
      </c>
      <c r="G60" s="553">
        <v>1528.14</v>
      </c>
      <c r="H60" s="553">
        <v>1528.14</v>
      </c>
    </row>
    <row r="61" spans="1:8" ht="11.25">
      <c r="A61" s="398">
        <v>334</v>
      </c>
      <c r="B61" s="398">
        <v>63600</v>
      </c>
      <c r="C61" s="399" t="s">
        <v>267</v>
      </c>
      <c r="D61" s="553">
        <v>600</v>
      </c>
      <c r="E61" s="553">
        <v>0</v>
      </c>
      <c r="F61" s="553">
        <v>600</v>
      </c>
      <c r="G61" s="553">
        <v>0</v>
      </c>
      <c r="H61" s="553">
        <v>0</v>
      </c>
    </row>
    <row r="62" spans="1:8" ht="11.25">
      <c r="A62" s="398">
        <v>337</v>
      </c>
      <c r="B62" s="398">
        <v>62300</v>
      </c>
      <c r="C62" s="549" t="s">
        <v>256</v>
      </c>
      <c r="D62" s="553">
        <v>0</v>
      </c>
      <c r="E62" s="553">
        <v>1000</v>
      </c>
      <c r="F62" s="553">
        <v>1000</v>
      </c>
      <c r="G62" s="553">
        <v>822.35</v>
      </c>
      <c r="H62" s="553">
        <v>822.35</v>
      </c>
    </row>
    <row r="63" spans="1:8" ht="11.25">
      <c r="A63" s="398">
        <v>337</v>
      </c>
      <c r="B63" s="398">
        <v>62500</v>
      </c>
      <c r="C63" s="399" t="s">
        <v>269</v>
      </c>
      <c r="D63" s="553">
        <v>0</v>
      </c>
      <c r="E63" s="553">
        <v>500</v>
      </c>
      <c r="F63" s="553">
        <v>500</v>
      </c>
      <c r="G63" s="553">
        <v>65</v>
      </c>
      <c r="H63" s="553">
        <v>65</v>
      </c>
    </row>
    <row r="64" spans="1:8" ht="11.25">
      <c r="A64" s="547">
        <v>338</v>
      </c>
      <c r="B64" s="547">
        <v>62500</v>
      </c>
      <c r="C64" s="548" t="s">
        <v>263</v>
      </c>
      <c r="D64" s="553">
        <v>0</v>
      </c>
      <c r="E64" s="553">
        <v>18200</v>
      </c>
      <c r="F64" s="553">
        <v>18200</v>
      </c>
      <c r="G64" s="553">
        <v>17995.12</v>
      </c>
      <c r="H64" s="553">
        <v>17995.12</v>
      </c>
    </row>
    <row r="65" spans="1:8" ht="11.25">
      <c r="A65" s="547">
        <v>338</v>
      </c>
      <c r="B65" s="547">
        <v>62501</v>
      </c>
      <c r="C65" s="548" t="s">
        <v>263</v>
      </c>
      <c r="D65" s="553">
        <v>0</v>
      </c>
      <c r="E65" s="553">
        <v>32000</v>
      </c>
      <c r="F65" s="553">
        <v>32000</v>
      </c>
      <c r="G65" s="553">
        <v>18089.5</v>
      </c>
      <c r="H65" s="553">
        <v>18089.5</v>
      </c>
    </row>
    <row r="66" spans="1:10" ht="11.25">
      <c r="A66" s="398">
        <v>342</v>
      </c>
      <c r="B66" s="398">
        <v>62300</v>
      </c>
      <c r="C66" s="399" t="s">
        <v>274</v>
      </c>
      <c r="D66" s="553">
        <v>6500</v>
      </c>
      <c r="E66" s="553">
        <v>6000</v>
      </c>
      <c r="F66" s="553">
        <v>12500</v>
      </c>
      <c r="G66" s="553">
        <v>5551.64</v>
      </c>
      <c r="H66" s="553">
        <v>5551.64</v>
      </c>
      <c r="J66" s="2" t="s">
        <v>497</v>
      </c>
    </row>
    <row r="67" spans="1:10" ht="11.25">
      <c r="A67" s="552">
        <v>342</v>
      </c>
      <c r="B67" s="552">
        <v>62502</v>
      </c>
      <c r="C67" s="551" t="s">
        <v>263</v>
      </c>
      <c r="D67" s="553">
        <v>0</v>
      </c>
      <c r="E67" s="553">
        <v>8000</v>
      </c>
      <c r="F67" s="553">
        <v>8000</v>
      </c>
      <c r="G67" s="553">
        <v>0</v>
      </c>
      <c r="H67" s="553">
        <v>0</v>
      </c>
      <c r="J67" s="2" t="s">
        <v>496</v>
      </c>
    </row>
    <row r="68" spans="1:8" ht="11.25">
      <c r="A68" s="398">
        <v>342</v>
      </c>
      <c r="B68" s="398">
        <v>62503</v>
      </c>
      <c r="C68" s="399" t="s">
        <v>263</v>
      </c>
      <c r="D68" s="553">
        <v>0</v>
      </c>
      <c r="E68" s="553">
        <v>215</v>
      </c>
      <c r="F68" s="553">
        <v>215</v>
      </c>
      <c r="G68" s="553">
        <v>0</v>
      </c>
      <c r="H68" s="553">
        <v>0</v>
      </c>
    </row>
    <row r="69" spans="1:8" ht="11.25">
      <c r="A69" s="398">
        <v>342</v>
      </c>
      <c r="B69" s="398">
        <v>62505</v>
      </c>
      <c r="C69" s="551" t="s">
        <v>263</v>
      </c>
      <c r="D69" s="553">
        <v>0</v>
      </c>
      <c r="E69" s="553">
        <v>2400</v>
      </c>
      <c r="F69" s="553">
        <v>2400</v>
      </c>
      <c r="G69" s="553">
        <v>2363.43</v>
      </c>
      <c r="H69" s="553">
        <v>0</v>
      </c>
    </row>
    <row r="70" spans="1:8" ht="11.25">
      <c r="A70" s="552">
        <v>342</v>
      </c>
      <c r="B70" s="552">
        <v>63300</v>
      </c>
      <c r="C70" s="551" t="s">
        <v>256</v>
      </c>
      <c r="D70" s="553">
        <v>0</v>
      </c>
      <c r="E70" s="553">
        <v>48400</v>
      </c>
      <c r="F70" s="553">
        <v>48400</v>
      </c>
      <c r="G70" s="553">
        <v>48371.02</v>
      </c>
      <c r="H70" s="553">
        <v>0</v>
      </c>
    </row>
    <row r="71" spans="1:8" ht="11.25">
      <c r="A71" s="545">
        <v>432</v>
      </c>
      <c r="B71" s="545">
        <v>62501</v>
      </c>
      <c r="C71" s="546" t="s">
        <v>278</v>
      </c>
      <c r="D71" s="553">
        <v>0</v>
      </c>
      <c r="E71" s="553">
        <v>18600</v>
      </c>
      <c r="F71" s="553">
        <v>18600</v>
      </c>
      <c r="G71" s="553">
        <v>18099.99</v>
      </c>
      <c r="H71" s="553">
        <v>18099.99</v>
      </c>
    </row>
    <row r="72" spans="1:8" ht="11.25">
      <c r="A72" s="398">
        <v>491</v>
      </c>
      <c r="B72" s="398">
        <v>61900</v>
      </c>
      <c r="C72" s="399" t="s">
        <v>279</v>
      </c>
      <c r="D72" s="553">
        <v>0</v>
      </c>
      <c r="E72" s="553">
        <v>3000</v>
      </c>
      <c r="F72" s="553">
        <v>3000</v>
      </c>
      <c r="G72" s="553">
        <v>2998.38</v>
      </c>
      <c r="H72" s="553">
        <v>2998.38</v>
      </c>
    </row>
    <row r="73" spans="1:8" ht="11.25">
      <c r="A73" s="398">
        <v>920</v>
      </c>
      <c r="B73" s="398">
        <v>62501</v>
      </c>
      <c r="C73" s="399" t="s">
        <v>280</v>
      </c>
      <c r="D73" s="553">
        <v>1500</v>
      </c>
      <c r="E73" s="553">
        <v>0</v>
      </c>
      <c r="F73" s="553">
        <v>1500</v>
      </c>
      <c r="G73" s="553">
        <v>663.47</v>
      </c>
      <c r="H73" s="553">
        <v>0</v>
      </c>
    </row>
    <row r="74" spans="1:8" ht="11.25">
      <c r="A74" s="552">
        <v>920</v>
      </c>
      <c r="B74" s="552">
        <v>62502</v>
      </c>
      <c r="C74" s="551" t="s">
        <v>297</v>
      </c>
      <c r="D74" s="553">
        <v>0</v>
      </c>
      <c r="E74" s="553">
        <v>20000</v>
      </c>
      <c r="F74" s="553">
        <v>20000</v>
      </c>
      <c r="G74" s="553">
        <v>18481.67</v>
      </c>
      <c r="H74" s="553">
        <v>18481.67</v>
      </c>
    </row>
    <row r="75" spans="1:8" ht="11.25">
      <c r="A75" s="552">
        <v>920</v>
      </c>
      <c r="B75" s="552">
        <v>62503</v>
      </c>
      <c r="C75" s="551" t="s">
        <v>263</v>
      </c>
      <c r="D75" s="553">
        <v>0</v>
      </c>
      <c r="E75" s="553">
        <v>9986</v>
      </c>
      <c r="F75" s="553">
        <v>9986</v>
      </c>
      <c r="G75" s="553">
        <v>9982.5</v>
      </c>
      <c r="H75" s="553">
        <v>9982.5</v>
      </c>
    </row>
    <row r="76" spans="1:8" ht="11.25">
      <c r="A76" s="398">
        <v>920</v>
      </c>
      <c r="B76" s="398">
        <v>63200</v>
      </c>
      <c r="C76" s="399" t="s">
        <v>281</v>
      </c>
      <c r="D76" s="553">
        <v>3000</v>
      </c>
      <c r="E76" s="553">
        <v>-200</v>
      </c>
      <c r="F76" s="553">
        <v>2800</v>
      </c>
      <c r="G76" s="553">
        <v>0</v>
      </c>
      <c r="H76" s="553">
        <v>0</v>
      </c>
    </row>
    <row r="77" spans="1:8" ht="11.25">
      <c r="A77" s="398">
        <v>920</v>
      </c>
      <c r="B77" s="398">
        <v>63600</v>
      </c>
      <c r="C77" s="399" t="s">
        <v>267</v>
      </c>
      <c r="D77" s="553">
        <v>7000</v>
      </c>
      <c r="E77" s="553">
        <v>35000</v>
      </c>
      <c r="F77" s="553">
        <v>42000</v>
      </c>
      <c r="G77" s="553">
        <v>33679.13</v>
      </c>
      <c r="H77" s="553">
        <v>31110.77</v>
      </c>
    </row>
    <row r="78" spans="1:8" ht="11.25">
      <c r="A78" s="398">
        <v>920</v>
      </c>
      <c r="B78" s="398">
        <v>64000</v>
      </c>
      <c r="C78" s="399" t="s">
        <v>282</v>
      </c>
      <c r="D78" s="553">
        <v>20000</v>
      </c>
      <c r="E78" s="553">
        <v>-5000</v>
      </c>
      <c r="F78" s="553">
        <v>15000</v>
      </c>
      <c r="G78" s="553">
        <v>8768.87</v>
      </c>
      <c r="H78" s="553">
        <v>7825.07</v>
      </c>
    </row>
    <row r="79" spans="1:8" ht="11.25">
      <c r="A79" s="545">
        <v>920</v>
      </c>
      <c r="B79" s="545">
        <v>68100</v>
      </c>
      <c r="C79" s="546" t="s">
        <v>244</v>
      </c>
      <c r="D79" s="553">
        <v>0</v>
      </c>
      <c r="E79" s="553">
        <v>97034.7</v>
      </c>
      <c r="F79" s="553">
        <v>97034.7</v>
      </c>
      <c r="G79" s="553">
        <v>96963.6</v>
      </c>
      <c r="H79" s="553">
        <v>96963.6</v>
      </c>
    </row>
    <row r="80" spans="1:8" ht="11.25">
      <c r="A80" s="398">
        <v>933</v>
      </c>
      <c r="B80" s="398">
        <v>60900</v>
      </c>
      <c r="C80" s="399" t="s">
        <v>283</v>
      </c>
      <c r="D80" s="553">
        <v>100000</v>
      </c>
      <c r="E80" s="553">
        <v>0</v>
      </c>
      <c r="F80" s="553">
        <v>100000</v>
      </c>
      <c r="G80" s="553">
        <v>0</v>
      </c>
      <c r="H80" s="553">
        <v>0</v>
      </c>
    </row>
    <row r="81" spans="1:10" ht="11.25">
      <c r="A81" s="398">
        <v>1532</v>
      </c>
      <c r="B81" s="398">
        <v>61901</v>
      </c>
      <c r="C81" s="551" t="s">
        <v>507</v>
      </c>
      <c r="D81" s="553">
        <v>0</v>
      </c>
      <c r="E81" s="553">
        <v>48400</v>
      </c>
      <c r="F81" s="553">
        <v>48400</v>
      </c>
      <c r="G81" s="553">
        <v>48145.9</v>
      </c>
      <c r="H81" s="553">
        <v>0</v>
      </c>
      <c r="J81" s="2" t="s">
        <v>499</v>
      </c>
    </row>
    <row r="82" spans="1:8" ht="11.25">
      <c r="A82" s="398">
        <v>1532</v>
      </c>
      <c r="B82" s="398">
        <v>62200</v>
      </c>
      <c r="C82" s="399" t="s">
        <v>247</v>
      </c>
      <c r="D82" s="553">
        <v>0</v>
      </c>
      <c r="E82" s="553">
        <v>36734.63</v>
      </c>
      <c r="F82" s="553">
        <v>36734.63</v>
      </c>
      <c r="G82" s="553">
        <v>0</v>
      </c>
      <c r="H82" s="553">
        <v>0</v>
      </c>
    </row>
    <row r="83" spans="1:8" ht="11.25">
      <c r="A83" s="398">
        <v>1532</v>
      </c>
      <c r="B83" s="398">
        <v>62301</v>
      </c>
      <c r="C83" s="399" t="s">
        <v>248</v>
      </c>
      <c r="D83" s="553">
        <v>2000</v>
      </c>
      <c r="E83" s="553">
        <v>1000</v>
      </c>
      <c r="F83" s="553">
        <v>3000</v>
      </c>
      <c r="G83" s="553">
        <v>2300.72</v>
      </c>
      <c r="H83" s="553">
        <v>2300.72</v>
      </c>
    </row>
    <row r="84" spans="1:10" ht="11.25">
      <c r="A84" s="545">
        <v>1532</v>
      </c>
      <c r="B84" s="545">
        <v>62400</v>
      </c>
      <c r="C84" s="546" t="s">
        <v>249</v>
      </c>
      <c r="D84" s="553">
        <v>0</v>
      </c>
      <c r="E84" s="553">
        <v>64000</v>
      </c>
      <c r="F84" s="553">
        <v>64000</v>
      </c>
      <c r="G84" s="553">
        <v>62490.45</v>
      </c>
      <c r="H84" s="553">
        <v>0</v>
      </c>
      <c r="J84" s="541"/>
    </row>
    <row r="85" spans="1:10" ht="11.25">
      <c r="A85" s="552">
        <v>1621</v>
      </c>
      <c r="B85" s="552">
        <v>62501</v>
      </c>
      <c r="C85" s="551" t="s">
        <v>263</v>
      </c>
      <c r="D85" s="553">
        <v>0</v>
      </c>
      <c r="E85" s="553">
        <v>18000</v>
      </c>
      <c r="F85" s="553">
        <v>18000</v>
      </c>
      <c r="G85" s="553">
        <v>17999.54</v>
      </c>
      <c r="H85" s="553">
        <v>17999.54</v>
      </c>
      <c r="I85" s="542"/>
      <c r="J85" s="2" t="s">
        <v>497</v>
      </c>
    </row>
    <row r="86" spans="1:8" ht="11.25">
      <c r="A86" s="398">
        <v>1721</v>
      </c>
      <c r="B86" s="398">
        <v>62300</v>
      </c>
      <c r="C86" s="399" t="s">
        <v>256</v>
      </c>
      <c r="D86" s="553">
        <v>0</v>
      </c>
      <c r="E86" s="553">
        <v>18150</v>
      </c>
      <c r="F86" s="553">
        <v>18150</v>
      </c>
      <c r="G86" s="553">
        <v>17847.5</v>
      </c>
      <c r="H86" s="553">
        <v>17847.5</v>
      </c>
    </row>
    <row r="87" spans="1:8" ht="11.25">
      <c r="A87" s="398">
        <v>3321</v>
      </c>
      <c r="B87" s="398">
        <v>62500</v>
      </c>
      <c r="C87" s="551" t="s">
        <v>263</v>
      </c>
      <c r="D87" s="553">
        <v>0</v>
      </c>
      <c r="E87" s="553">
        <v>2600</v>
      </c>
      <c r="F87" s="553">
        <v>2600</v>
      </c>
      <c r="G87" s="553">
        <v>2538.42</v>
      </c>
      <c r="H87" s="553">
        <v>2538.42</v>
      </c>
    </row>
    <row r="88" spans="1:8" ht="11.25">
      <c r="A88" s="398">
        <v>3321</v>
      </c>
      <c r="B88" s="398">
        <v>63600</v>
      </c>
      <c r="C88" s="399" t="s">
        <v>267</v>
      </c>
      <c r="D88" s="553">
        <v>600</v>
      </c>
      <c r="E88" s="553">
        <v>0</v>
      </c>
      <c r="F88" s="553">
        <v>600</v>
      </c>
      <c r="G88" s="553">
        <v>151.25</v>
      </c>
      <c r="H88" s="553">
        <v>0</v>
      </c>
    </row>
    <row r="90" spans="3:8" s="3" customFormat="1" ht="10.5">
      <c r="C90" s="400" t="s">
        <v>288</v>
      </c>
      <c r="D90" s="401">
        <f>SUM(D2:D88)</f>
        <v>430070.83999999997</v>
      </c>
      <c r="E90" s="401">
        <f>SUM(E2:E88)</f>
        <v>2691514.19</v>
      </c>
      <c r="F90" s="401">
        <f>SUM(F2:F88)</f>
        <v>3121585.0300000003</v>
      </c>
      <c r="G90" s="401">
        <f>SUM(G2:G88)</f>
        <v>2182792.7099999995</v>
      </c>
      <c r="H90" s="401">
        <f>SUM(H2:H88)</f>
        <v>1227689.71</v>
      </c>
    </row>
    <row r="95" ht="12" thickBot="1"/>
    <row r="96" spans="5:6" ht="11.25">
      <c r="E96" s="475"/>
      <c r="F96" s="476"/>
    </row>
    <row r="97" spans="5:6" ht="11.25">
      <c r="E97" s="477" t="s">
        <v>291</v>
      </c>
      <c r="F97" s="478">
        <f>SUM(H2:H19)</f>
        <v>675538.5099999999</v>
      </c>
    </row>
    <row r="98" spans="5:6" ht="11.25">
      <c r="E98" s="477" t="s">
        <v>153</v>
      </c>
      <c r="F98" s="478">
        <f>SUM(H21:H28)</f>
        <v>173359.09</v>
      </c>
    </row>
    <row r="99" spans="5:6" ht="12" thickBot="1">
      <c r="E99" s="479" t="s">
        <v>292</v>
      </c>
      <c r="F99" s="480">
        <f>H90-F97-F98</f>
        <v>378792.1100000001</v>
      </c>
    </row>
    <row r="100" ht="11.25">
      <c r="E100" s="402" t="s">
        <v>490</v>
      </c>
    </row>
    <row r="101" ht="11.25">
      <c r="E101" s="402" t="s">
        <v>292</v>
      </c>
    </row>
  </sheetData>
  <sheetProtection/>
  <autoFilter ref="A1:I1">
    <sortState ref="A2:I101">
      <sortCondition sortBy="value" ref="I2:I101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129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2.00390625" style="492" customWidth="1"/>
    <col min="2" max="2" width="17.421875" style="407" customWidth="1"/>
    <col min="3" max="3" width="16.140625" style="407" customWidth="1"/>
    <col min="4" max="4" width="14.28125" style="407" customWidth="1"/>
    <col min="5" max="5" width="16.140625" style="407" customWidth="1"/>
    <col min="6" max="6" width="15.8515625" style="407" customWidth="1"/>
    <col min="7" max="7" width="12.421875" style="407" bestFit="1" customWidth="1"/>
    <col min="8" max="8" width="12.421875" style="407" customWidth="1"/>
    <col min="9" max="9" width="13.421875" style="407" customWidth="1"/>
    <col min="10" max="10" width="12.8515625" style="407" customWidth="1"/>
    <col min="11" max="11" width="12.421875" style="407" customWidth="1"/>
    <col min="12" max="12" width="12.57421875" style="407" customWidth="1"/>
    <col min="13" max="13" width="14.8515625" style="407" customWidth="1"/>
    <col min="14" max="14" width="11.421875" style="407" customWidth="1"/>
    <col min="15" max="15" width="14.00390625" style="407" customWidth="1"/>
    <col min="16" max="16384" width="11.421875" style="407" customWidth="1"/>
  </cols>
  <sheetData>
    <row r="3" spans="2:11" ht="11.25">
      <c r="B3" s="595" t="s">
        <v>387</v>
      </c>
      <c r="C3" s="596"/>
      <c r="D3" s="596"/>
      <c r="E3" s="596"/>
      <c r="F3" s="596"/>
      <c r="G3" s="596"/>
      <c r="H3" s="596"/>
      <c r="I3" s="596"/>
      <c r="J3" s="596"/>
      <c r="K3" s="597"/>
    </row>
    <row r="4" spans="2:11" ht="11.25">
      <c r="B4" s="598"/>
      <c r="C4" s="599"/>
      <c r="D4" s="599"/>
      <c r="E4" s="599"/>
      <c r="F4" s="599"/>
      <c r="G4" s="599"/>
      <c r="H4" s="599"/>
      <c r="I4" s="599"/>
      <c r="J4" s="599"/>
      <c r="K4" s="600"/>
    </row>
    <row r="5" spans="2:11" ht="11.25">
      <c r="B5" s="493"/>
      <c r="C5" s="494"/>
      <c r="D5" s="494"/>
      <c r="E5" s="494"/>
      <c r="F5" s="494"/>
      <c r="G5" s="494"/>
      <c r="H5" s="494"/>
      <c r="I5" s="494"/>
      <c r="J5" s="494"/>
      <c r="K5" s="495"/>
    </row>
    <row r="6" spans="2:14" ht="23.25" thickBot="1">
      <c r="B6" s="496" t="s">
        <v>300</v>
      </c>
      <c r="C6" s="497" t="s">
        <v>301</v>
      </c>
      <c r="D6" s="497" t="s">
        <v>302</v>
      </c>
      <c r="E6" s="497" t="s">
        <v>363</v>
      </c>
      <c r="F6" s="498" t="s">
        <v>364</v>
      </c>
      <c r="G6" s="498" t="s">
        <v>388</v>
      </c>
      <c r="H6" s="499" t="s">
        <v>303</v>
      </c>
      <c r="I6" s="497" t="s">
        <v>365</v>
      </c>
      <c r="J6" s="500" t="s">
        <v>389</v>
      </c>
      <c r="L6" s="501"/>
      <c r="N6" s="501"/>
    </row>
    <row r="7" spans="2:10" ht="12" thickBot="1">
      <c r="B7" s="420">
        <v>3983583.32</v>
      </c>
      <c r="C7" s="420">
        <f>178624.97+353089.31</f>
        <v>531714.28</v>
      </c>
      <c r="D7" s="420">
        <f>B7+C7</f>
        <v>4515297.6</v>
      </c>
      <c r="E7" s="502"/>
      <c r="F7" s="502"/>
      <c r="G7" s="421"/>
      <c r="H7" s="503">
        <v>3294996.14</v>
      </c>
      <c r="I7" s="421">
        <f>D7-E7-F7-H7</f>
        <v>1220301.4599999995</v>
      </c>
      <c r="J7" s="485">
        <v>0</v>
      </c>
    </row>
    <row r="8" spans="2:10" ht="11.25">
      <c r="B8" s="305"/>
      <c r="C8" s="21"/>
      <c r="D8" s="21"/>
      <c r="E8" s="21"/>
      <c r="F8" s="21"/>
      <c r="H8" s="21"/>
      <c r="I8" s="21"/>
      <c r="J8" s="21"/>
    </row>
    <row r="9" spans="2:11" ht="11.25">
      <c r="B9" s="486"/>
      <c r="F9" s="487">
        <v>0.028</v>
      </c>
      <c r="G9" s="301"/>
      <c r="H9" s="301"/>
      <c r="I9" s="301"/>
      <c r="K9" s="301"/>
    </row>
    <row r="10" spans="2:12" ht="45">
      <c r="B10" s="413" t="s">
        <v>489</v>
      </c>
      <c r="C10" s="415" t="s">
        <v>393</v>
      </c>
      <c r="D10" s="415" t="s">
        <v>390</v>
      </c>
      <c r="E10" s="417" t="s">
        <v>391</v>
      </c>
      <c r="F10" s="429" t="s">
        <v>314</v>
      </c>
      <c r="G10" s="414" t="s">
        <v>392</v>
      </c>
      <c r="H10" s="414" t="s">
        <v>488</v>
      </c>
      <c r="I10" s="414" t="s">
        <v>367</v>
      </c>
      <c r="J10" s="413" t="s">
        <v>309</v>
      </c>
      <c r="K10" s="431" t="s">
        <v>315</v>
      </c>
      <c r="L10" s="483" t="s">
        <v>394</v>
      </c>
    </row>
    <row r="11" spans="1:12" s="406" customFormat="1" ht="15" customHeight="1">
      <c r="A11" s="504"/>
      <c r="B11" s="420">
        <v>3359585.01</v>
      </c>
      <c r="C11" s="421">
        <v>170526.47</v>
      </c>
      <c r="D11" s="421">
        <v>0</v>
      </c>
      <c r="E11" s="485">
        <f>B11-C11-D11</f>
        <v>3189058.5399999996</v>
      </c>
      <c r="F11" s="505">
        <f>E11*F9</f>
        <v>89293.63911999999</v>
      </c>
      <c r="G11" s="484">
        <f>E11+F11</f>
        <v>3278352.1791199995</v>
      </c>
      <c r="H11" s="421" t="e">
        <f>'gasto computable'!G33+'gasto computable'!G48+'gasto computable'!G52+'gasto computable'!G53+'gasto computable'!G54+'gasto computable'!G56+'gasto computable'!#REF!+'gasto computable'!G58+'gasto computable'!G60+'gasto computable'!G61+'gasto computable'!G62</f>
        <v>#REF!</v>
      </c>
      <c r="I11" s="421" t="e">
        <f>G11+H11</f>
        <v>#REF!</v>
      </c>
      <c r="J11" s="538">
        <f>E7+F7+H7-G7</f>
        <v>3294996.14</v>
      </c>
      <c r="K11" s="502" t="e">
        <f>J11-H11+J7</f>
        <v>#REF!</v>
      </c>
      <c r="L11" s="485" t="e">
        <f>G11-K11</f>
        <v>#REF!</v>
      </c>
    </row>
    <row r="13" ht="11.25">
      <c r="N13" s="501"/>
    </row>
    <row r="14" spans="2:25" ht="12.75" customHeight="1">
      <c r="B14" s="595" t="s">
        <v>369</v>
      </c>
      <c r="C14" s="596"/>
      <c r="D14" s="596"/>
      <c r="E14" s="596"/>
      <c r="F14" s="596"/>
      <c r="G14" s="597"/>
      <c r="H14" s="101"/>
      <c r="I14" s="593" t="s">
        <v>358</v>
      </c>
      <c r="J14" s="594"/>
      <c r="L14" s="593" t="s">
        <v>318</v>
      </c>
      <c r="M14" s="594"/>
      <c r="O14" s="593" t="s">
        <v>317</v>
      </c>
      <c r="P14" s="594"/>
      <c r="R14" s="593" t="s">
        <v>337</v>
      </c>
      <c r="S14" s="594"/>
      <c r="U14" s="593" t="s">
        <v>346</v>
      </c>
      <c r="V14" s="594"/>
      <c r="X14" s="593" t="s">
        <v>350</v>
      </c>
      <c r="Y14" s="594"/>
    </row>
    <row r="15" spans="2:25" ht="11.25">
      <c r="B15" s="601"/>
      <c r="C15" s="602"/>
      <c r="D15" s="602"/>
      <c r="E15" s="602"/>
      <c r="F15" s="602"/>
      <c r="G15" s="603"/>
      <c r="H15" s="101"/>
      <c r="I15" s="441">
        <v>44021</v>
      </c>
      <c r="J15" s="442">
        <v>192670.17</v>
      </c>
      <c r="L15" s="441">
        <v>43717</v>
      </c>
      <c r="M15" s="442">
        <v>-34411.33</v>
      </c>
      <c r="O15" s="441">
        <v>43362</v>
      </c>
      <c r="P15" s="442">
        <v>-214837.08</v>
      </c>
      <c r="R15" s="441">
        <v>42830</v>
      </c>
      <c r="S15" s="442">
        <v>342773.77</v>
      </c>
      <c r="U15" s="441">
        <v>42473</v>
      </c>
      <c r="V15" s="442">
        <v>650518.4</v>
      </c>
      <c r="X15" s="441">
        <v>42175</v>
      </c>
      <c r="Y15" s="442">
        <v>-24105.47</v>
      </c>
    </row>
    <row r="16" spans="2:25" ht="14.25" customHeight="1">
      <c r="B16" s="439" t="s">
        <v>395</v>
      </c>
      <c r="C16" s="447" t="s">
        <v>396</v>
      </c>
      <c r="D16" s="447" t="s">
        <v>397</v>
      </c>
      <c r="E16" s="447" t="s">
        <v>398</v>
      </c>
      <c r="F16" s="447" t="s">
        <v>399</v>
      </c>
      <c r="G16" s="440" t="s">
        <v>400</v>
      </c>
      <c r="H16" s="101"/>
      <c r="I16" s="444">
        <v>44060</v>
      </c>
      <c r="J16" s="445">
        <v>-164151.2</v>
      </c>
      <c r="L16" s="444">
        <v>43748</v>
      </c>
      <c r="M16" s="445">
        <v>-2560.96</v>
      </c>
      <c r="O16" s="444">
        <v>43390</v>
      </c>
      <c r="P16" s="445">
        <v>-159621.67</v>
      </c>
      <c r="R16" s="444">
        <v>42884</v>
      </c>
      <c r="S16" s="445">
        <v>219466.2</v>
      </c>
      <c r="U16" s="444">
        <v>42508</v>
      </c>
      <c r="V16" s="445">
        <v>508269.58</v>
      </c>
      <c r="X16" s="444">
        <v>42182</v>
      </c>
      <c r="Y16" s="445">
        <v>-44268.3</v>
      </c>
    </row>
    <row r="17" spans="1:25" ht="14.25" customHeight="1">
      <c r="A17" s="492">
        <v>22100</v>
      </c>
      <c r="B17" s="490" t="s">
        <v>401</v>
      </c>
      <c r="C17" s="506">
        <v>8463.12</v>
      </c>
      <c r="D17" s="507">
        <v>7840.04</v>
      </c>
      <c r="E17" s="296">
        <v>4495.54</v>
      </c>
      <c r="F17" s="313">
        <f>E17/9</f>
        <v>499.50444444444446</v>
      </c>
      <c r="G17" s="508">
        <f>C17-(E17+F17)</f>
        <v>3468.075555555556</v>
      </c>
      <c r="H17" s="509"/>
      <c r="I17" s="444">
        <v>44087</v>
      </c>
      <c r="J17" s="445">
        <v>-227751.36</v>
      </c>
      <c r="L17" s="444">
        <v>43755</v>
      </c>
      <c r="M17" s="445">
        <v>-198572.68</v>
      </c>
      <c r="O17" s="444">
        <v>43405</v>
      </c>
      <c r="P17" s="445">
        <v>-175257.19</v>
      </c>
      <c r="R17" s="444">
        <v>42908</v>
      </c>
      <c r="S17" s="445">
        <v>146551.76</v>
      </c>
      <c r="U17" s="444">
        <v>42536</v>
      </c>
      <c r="V17" s="445">
        <v>291455.66</v>
      </c>
      <c r="X17" s="444">
        <v>42185</v>
      </c>
      <c r="Y17" s="445">
        <v>63731.7</v>
      </c>
    </row>
    <row r="18" spans="1:25" ht="11.25">
      <c r="A18" s="510"/>
      <c r="B18" s="118" t="s">
        <v>402</v>
      </c>
      <c r="C18" s="511">
        <v>3809.92</v>
      </c>
      <c r="D18" s="458"/>
      <c r="E18" s="123">
        <v>1301.49</v>
      </c>
      <c r="F18" s="124">
        <f>E18/9</f>
        <v>144.61</v>
      </c>
      <c r="G18" s="512">
        <f aca="true" t="shared" si="0" ref="G18:G25">C18-(E18+F18)</f>
        <v>2363.82</v>
      </c>
      <c r="H18" s="509"/>
      <c r="I18" s="444">
        <v>44111</v>
      </c>
      <c r="J18" s="445">
        <v>-75611.17</v>
      </c>
      <c r="L18" s="444">
        <v>43777</v>
      </c>
      <c r="M18" s="445">
        <v>-205546.74</v>
      </c>
      <c r="O18" s="444">
        <v>43412</v>
      </c>
      <c r="P18" s="445">
        <v>-268801.85</v>
      </c>
      <c r="R18" s="444">
        <v>42920</v>
      </c>
      <c r="S18" s="445">
        <v>340551.43</v>
      </c>
      <c r="U18" s="444">
        <v>42538</v>
      </c>
      <c r="V18" s="445">
        <v>288053.61</v>
      </c>
      <c r="X18" s="444">
        <v>42191</v>
      </c>
      <c r="Y18" s="445">
        <v>32172.24</v>
      </c>
    </row>
    <row r="19" spans="1:25" ht="11.25">
      <c r="A19" s="510"/>
      <c r="B19" s="118" t="s">
        <v>403</v>
      </c>
      <c r="C19" s="511">
        <v>283217.07</v>
      </c>
      <c r="D19" s="458"/>
      <c r="E19" s="123">
        <v>247633.71</v>
      </c>
      <c r="F19" s="124">
        <f aca="true" t="shared" si="1" ref="F19:F26">E19/9</f>
        <v>27514.856666666667</v>
      </c>
      <c r="G19" s="512">
        <f t="shared" si="0"/>
        <v>8068.503333333356</v>
      </c>
      <c r="H19" s="509"/>
      <c r="I19" s="444" t="s">
        <v>495</v>
      </c>
      <c r="J19" s="445">
        <v>-38015.82</v>
      </c>
      <c r="L19" s="444">
        <v>43787</v>
      </c>
      <c r="M19" s="445">
        <v>-305161.77</v>
      </c>
      <c r="O19" s="444">
        <v>43423</v>
      </c>
      <c r="P19" s="445">
        <v>-290124.19</v>
      </c>
      <c r="R19" s="444">
        <v>42933</v>
      </c>
      <c r="S19" s="445">
        <v>15172.66</v>
      </c>
      <c r="U19" s="444">
        <v>42573</v>
      </c>
      <c r="V19" s="445">
        <v>217868.91</v>
      </c>
      <c r="X19" s="444">
        <v>42195</v>
      </c>
      <c r="Y19" s="445">
        <v>275138.12</v>
      </c>
    </row>
    <row r="20" spans="1:25" ht="11.25">
      <c r="A20" s="510"/>
      <c r="B20" s="118" t="s">
        <v>404</v>
      </c>
      <c r="C20" s="511">
        <v>24765.46</v>
      </c>
      <c r="D20" s="458"/>
      <c r="E20" s="123">
        <v>12028.54</v>
      </c>
      <c r="F20" s="124">
        <f t="shared" si="1"/>
        <v>1336.5044444444445</v>
      </c>
      <c r="G20" s="512">
        <f t="shared" si="0"/>
        <v>11400.415555555554</v>
      </c>
      <c r="H20" s="509"/>
      <c r="I20" s="444">
        <v>44186</v>
      </c>
      <c r="J20" s="445">
        <v>-129187.95</v>
      </c>
      <c r="L20" s="444">
        <v>43795</v>
      </c>
      <c r="M20" s="445">
        <v>-284712.27</v>
      </c>
      <c r="O20" s="444">
        <v>43430</v>
      </c>
      <c r="P20" s="445">
        <v>-299001.01</v>
      </c>
      <c r="R20" s="444">
        <v>42941</v>
      </c>
      <c r="S20" s="445">
        <v>-22731.75</v>
      </c>
      <c r="U20" s="444">
        <v>42604</v>
      </c>
      <c r="V20" s="445">
        <v>175544.11</v>
      </c>
      <c r="X20" s="444">
        <v>42200</v>
      </c>
      <c r="Y20" s="445">
        <v>255641.15</v>
      </c>
    </row>
    <row r="21" spans="1:25" ht="11.25">
      <c r="A21" s="510"/>
      <c r="B21" s="118" t="s">
        <v>405</v>
      </c>
      <c r="C21" s="511">
        <v>27838.65</v>
      </c>
      <c r="D21" s="458"/>
      <c r="E21" s="123">
        <v>12086.36</v>
      </c>
      <c r="F21" s="124">
        <f t="shared" si="1"/>
        <v>1342.9288888888889</v>
      </c>
      <c r="G21" s="512">
        <f t="shared" si="0"/>
        <v>14409.361111111111</v>
      </c>
      <c r="H21" s="509"/>
      <c r="I21" s="444">
        <v>44200</v>
      </c>
      <c r="J21" s="445">
        <v>242522.25</v>
      </c>
      <c r="L21" s="444">
        <v>43809</v>
      </c>
      <c r="M21" s="445">
        <v>-233237.87</v>
      </c>
      <c r="O21" s="444">
        <v>43444</v>
      </c>
      <c r="P21" s="445">
        <v>-354174.67</v>
      </c>
      <c r="R21" s="444">
        <v>42969</v>
      </c>
      <c r="S21" s="445">
        <v>-67415.01</v>
      </c>
      <c r="U21" s="444">
        <v>42605</v>
      </c>
      <c r="V21" s="445">
        <v>156057.66</v>
      </c>
      <c r="X21" s="444">
        <v>42201</v>
      </c>
      <c r="Y21" s="445">
        <v>119325.65</v>
      </c>
    </row>
    <row r="22" spans="1:25" ht="11.25">
      <c r="A22" s="510"/>
      <c r="B22" s="305" t="s">
        <v>406</v>
      </c>
      <c r="C22" s="511">
        <v>5736.63</v>
      </c>
      <c r="D22" s="458"/>
      <c r="E22" s="123">
        <v>3231.22</v>
      </c>
      <c r="F22" s="124">
        <f t="shared" si="1"/>
        <v>359.02444444444444</v>
      </c>
      <c r="G22" s="512">
        <f t="shared" si="0"/>
        <v>2146.385555555556</v>
      </c>
      <c r="H22" s="509"/>
      <c r="I22" s="444">
        <v>44215</v>
      </c>
      <c r="J22" s="445">
        <v>238779.66</v>
      </c>
      <c r="L22" s="444">
        <v>43816</v>
      </c>
      <c r="M22" s="445">
        <v>-243718.82</v>
      </c>
      <c r="O22" s="444">
        <v>43103</v>
      </c>
      <c r="P22" s="445">
        <v>-224119.33</v>
      </c>
      <c r="R22" s="444">
        <v>42976</v>
      </c>
      <c r="S22" s="445">
        <v>-149040.72</v>
      </c>
      <c r="U22" s="444">
        <v>42629</v>
      </c>
      <c r="V22" s="445">
        <v>135297.15</v>
      </c>
      <c r="X22" s="444">
        <v>42222</v>
      </c>
      <c r="Y22" s="445">
        <v>-37651.21</v>
      </c>
    </row>
    <row r="23" spans="1:25" ht="11.25">
      <c r="A23" s="510"/>
      <c r="B23" s="118" t="s">
        <v>407</v>
      </c>
      <c r="C23" s="511">
        <v>5219.23</v>
      </c>
      <c r="D23" s="458"/>
      <c r="E23" s="123">
        <v>2840.96</v>
      </c>
      <c r="F23" s="124">
        <f t="shared" si="1"/>
        <v>315.6622222222222</v>
      </c>
      <c r="G23" s="512">
        <f t="shared" si="0"/>
        <v>2062.6077777777773</v>
      </c>
      <c r="H23" s="509"/>
      <c r="I23" s="444"/>
      <c r="J23" s="445"/>
      <c r="L23" s="444">
        <v>43818</v>
      </c>
      <c r="M23" s="445">
        <v>-58401.96</v>
      </c>
      <c r="N23" s="407" t="s">
        <v>408</v>
      </c>
      <c r="O23" s="444"/>
      <c r="P23" s="445"/>
      <c r="R23" s="444">
        <v>42985</v>
      </c>
      <c r="S23" s="445">
        <v>7684.55</v>
      </c>
      <c r="T23" s="407" t="s">
        <v>409</v>
      </c>
      <c r="U23" s="444">
        <v>42632</v>
      </c>
      <c r="V23" s="445">
        <v>159920.24</v>
      </c>
      <c r="X23" s="444">
        <v>42258</v>
      </c>
      <c r="Y23" s="445">
        <v>-34443.08</v>
      </c>
    </row>
    <row r="24" spans="1:25" ht="11.25">
      <c r="A24" s="510"/>
      <c r="B24" s="118" t="s">
        <v>410</v>
      </c>
      <c r="C24" s="501">
        <v>18888.77</v>
      </c>
      <c r="D24" s="458"/>
      <c r="E24" s="123">
        <v>10061.4</v>
      </c>
      <c r="F24" s="124">
        <f t="shared" si="1"/>
        <v>1117.9333333333334</v>
      </c>
      <c r="G24" s="512">
        <f t="shared" si="0"/>
        <v>7709.436666666668</v>
      </c>
      <c r="H24" s="509"/>
      <c r="I24" s="444"/>
      <c r="J24" s="445"/>
      <c r="L24" s="444">
        <v>43819</v>
      </c>
      <c r="M24" s="445">
        <v>-81111.58</v>
      </c>
      <c r="O24" s="444"/>
      <c r="P24" s="445"/>
      <c r="R24" s="444">
        <v>42990</v>
      </c>
      <c r="S24" s="445">
        <v>-56945.98</v>
      </c>
      <c r="U24" s="444">
        <v>42641</v>
      </c>
      <c r="V24" s="445">
        <v>184920.24</v>
      </c>
      <c r="X24" s="444">
        <v>42262</v>
      </c>
      <c r="Y24" s="445">
        <v>-28173.75</v>
      </c>
    </row>
    <row r="25" spans="1:25" ht="11.25">
      <c r="A25" s="510"/>
      <c r="B25" s="118" t="s">
        <v>411</v>
      </c>
      <c r="C25" s="511">
        <v>30929.63</v>
      </c>
      <c r="D25" s="458"/>
      <c r="E25" s="123">
        <v>16118.66</v>
      </c>
      <c r="F25" s="124">
        <f t="shared" si="1"/>
        <v>1790.9622222222222</v>
      </c>
      <c r="G25" s="512">
        <f t="shared" si="0"/>
        <v>13020.00777777778</v>
      </c>
      <c r="H25" s="509"/>
      <c r="I25" s="444"/>
      <c r="J25" s="445"/>
      <c r="L25" s="444">
        <v>43826</v>
      </c>
      <c r="M25" s="445">
        <v>-132655.49</v>
      </c>
      <c r="O25" s="444"/>
      <c r="P25" s="445"/>
      <c r="R25" s="444">
        <v>42991</v>
      </c>
      <c r="S25" s="445">
        <v>-58641.11</v>
      </c>
      <c r="U25" s="444">
        <v>42643</v>
      </c>
      <c r="V25" s="445">
        <v>164407.16</v>
      </c>
      <c r="X25" s="444">
        <v>42282</v>
      </c>
      <c r="Y25" s="445">
        <v>-41187.12</v>
      </c>
    </row>
    <row r="26" spans="1:25" ht="11.25">
      <c r="A26" s="510"/>
      <c r="B26" s="118" t="s">
        <v>412</v>
      </c>
      <c r="C26" s="511">
        <v>31867.1</v>
      </c>
      <c r="D26" s="458"/>
      <c r="E26" s="123">
        <v>16531.24</v>
      </c>
      <c r="F26" s="124">
        <f t="shared" si="1"/>
        <v>1836.8044444444447</v>
      </c>
      <c r="G26" s="512">
        <v>0</v>
      </c>
      <c r="H26" s="509"/>
      <c r="I26" s="444"/>
      <c r="J26" s="445"/>
      <c r="L26" s="444">
        <v>43833</v>
      </c>
      <c r="M26" s="445">
        <v>-153030.39</v>
      </c>
      <c r="O26" s="444"/>
      <c r="P26" s="445"/>
      <c r="R26" s="444">
        <v>43000</v>
      </c>
      <c r="S26" s="445">
        <v>-182687.24</v>
      </c>
      <c r="U26" s="444">
        <v>42647</v>
      </c>
      <c r="V26" s="445">
        <v>250748.41</v>
      </c>
      <c r="X26" s="444">
        <v>42291</v>
      </c>
      <c r="Y26" s="445">
        <v>-74840.08</v>
      </c>
    </row>
    <row r="27" spans="1:25" ht="11.25">
      <c r="A27" s="510">
        <v>22101</v>
      </c>
      <c r="B27" s="513"/>
      <c r="C27" s="514"/>
      <c r="D27" s="315"/>
      <c r="E27" s="515"/>
      <c r="F27" s="300">
        <f>D27-E27</f>
        <v>0</v>
      </c>
      <c r="G27" s="516">
        <f>C27-(E27+F27)</f>
        <v>0</v>
      </c>
      <c r="H27" s="509"/>
      <c r="I27" s="444"/>
      <c r="J27" s="445"/>
      <c r="L27" s="444"/>
      <c r="M27" s="445"/>
      <c r="O27" s="444"/>
      <c r="P27" s="445"/>
      <c r="R27" s="444">
        <v>43025</v>
      </c>
      <c r="S27" s="445">
        <v>-122759.06</v>
      </c>
      <c r="U27" s="444">
        <v>42649</v>
      </c>
      <c r="V27" s="445">
        <v>317623.89</v>
      </c>
      <c r="X27" s="444">
        <v>42291</v>
      </c>
      <c r="Y27" s="445">
        <v>-65354.84</v>
      </c>
    </row>
    <row r="28" spans="1:25" ht="11.25">
      <c r="A28" s="510"/>
      <c r="B28" s="305" t="s">
        <v>413</v>
      </c>
      <c r="C28" s="517">
        <v>60000</v>
      </c>
      <c r="D28" s="458"/>
      <c r="E28" s="123">
        <v>41728.03</v>
      </c>
      <c r="F28" s="124">
        <f aca="true" t="shared" si="2" ref="F28:F34">E28/9</f>
        <v>4636.447777777777</v>
      </c>
      <c r="G28" s="512">
        <f>C28-(E28+F28)</f>
        <v>13635.522222222222</v>
      </c>
      <c r="H28" s="509"/>
      <c r="I28" s="444"/>
      <c r="J28" s="445"/>
      <c r="L28" s="444"/>
      <c r="M28" s="445"/>
      <c r="O28" s="444"/>
      <c r="P28" s="445"/>
      <c r="R28" s="444">
        <v>43032</v>
      </c>
      <c r="S28" s="445">
        <v>-122277.77</v>
      </c>
      <c r="U28" s="444">
        <v>42661</v>
      </c>
      <c r="V28" s="445">
        <v>273605.72</v>
      </c>
      <c r="X28" s="444">
        <v>42293</v>
      </c>
      <c r="Y28" s="445">
        <v>-85599.4</v>
      </c>
    </row>
    <row r="29" spans="1:25" ht="11.25">
      <c r="A29" s="510"/>
      <c r="B29" s="305" t="s">
        <v>414</v>
      </c>
      <c r="C29" s="517">
        <v>4000</v>
      </c>
      <c r="D29" s="458"/>
      <c r="E29" s="123">
        <v>2733.36</v>
      </c>
      <c r="F29" s="124">
        <f t="shared" si="2"/>
        <v>303.7066666666667</v>
      </c>
      <c r="G29" s="512">
        <f>C29-(E29+F29)</f>
        <v>962.9333333333334</v>
      </c>
      <c r="H29" s="509"/>
      <c r="I29" s="444"/>
      <c r="J29" s="445"/>
      <c r="L29" s="444"/>
      <c r="M29" s="445"/>
      <c r="O29" s="444"/>
      <c r="P29" s="445"/>
      <c r="R29" s="444"/>
      <c r="S29" s="445"/>
      <c r="U29" s="444">
        <v>42664</v>
      </c>
      <c r="V29" s="445">
        <v>311638.02</v>
      </c>
      <c r="X29" s="444">
        <v>42304</v>
      </c>
      <c r="Y29" s="445">
        <v>-108315.38</v>
      </c>
    </row>
    <row r="30" spans="1:25" ht="11.25">
      <c r="A30" s="510"/>
      <c r="B30" s="305" t="s">
        <v>415</v>
      </c>
      <c r="C30" s="517">
        <v>8100</v>
      </c>
      <c r="D30" s="458"/>
      <c r="E30" s="123">
        <v>2947.8</v>
      </c>
      <c r="F30" s="124">
        <f t="shared" si="2"/>
        <v>327.53333333333336</v>
      </c>
      <c r="G30" s="512">
        <v>0</v>
      </c>
      <c r="H30" s="509"/>
      <c r="I30" s="444"/>
      <c r="J30" s="445"/>
      <c r="L30" s="444"/>
      <c r="M30" s="445"/>
      <c r="O30" s="444"/>
      <c r="P30" s="445"/>
      <c r="R30" s="444"/>
      <c r="S30" s="445"/>
      <c r="U30" s="444">
        <v>42682</v>
      </c>
      <c r="V30" s="445">
        <v>320205.32</v>
      </c>
      <c r="X30" s="444">
        <v>42306</v>
      </c>
      <c r="Y30" s="445">
        <v>-127988.95</v>
      </c>
    </row>
    <row r="31" spans="1:25" ht="11.25">
      <c r="A31" s="510"/>
      <c r="B31" s="305" t="s">
        <v>416</v>
      </c>
      <c r="C31" s="517">
        <v>2200</v>
      </c>
      <c r="D31" s="458"/>
      <c r="E31" s="123">
        <v>1048.79</v>
      </c>
      <c r="F31" s="124">
        <f t="shared" si="2"/>
        <v>116.53222222222222</v>
      </c>
      <c r="G31" s="512">
        <v>0</v>
      </c>
      <c r="H31" s="509"/>
      <c r="I31" s="444"/>
      <c r="J31" s="445"/>
      <c r="L31" s="444"/>
      <c r="M31" s="445"/>
      <c r="O31" s="444"/>
      <c r="P31" s="445"/>
      <c r="R31" s="444"/>
      <c r="S31" s="445"/>
      <c r="U31" s="444">
        <v>42688</v>
      </c>
      <c r="V31" s="445">
        <v>337840.56</v>
      </c>
      <c r="X31" s="444">
        <v>42311</v>
      </c>
      <c r="Y31" s="445">
        <v>-128794.95</v>
      </c>
    </row>
    <row r="32" spans="1:25" ht="11.25">
      <c r="A32" s="510"/>
      <c r="B32" s="305" t="s">
        <v>417</v>
      </c>
      <c r="C32" s="517">
        <v>3000</v>
      </c>
      <c r="D32" s="458"/>
      <c r="E32" s="123">
        <v>2304.2</v>
      </c>
      <c r="F32" s="124">
        <f t="shared" si="2"/>
        <v>256.0222222222222</v>
      </c>
      <c r="G32" s="512">
        <v>0</v>
      </c>
      <c r="H32" s="509"/>
      <c r="I32" s="444"/>
      <c r="J32" s="445"/>
      <c r="L32" s="444"/>
      <c r="M32" s="445"/>
      <c r="O32" s="444"/>
      <c r="P32" s="445"/>
      <c r="R32" s="444"/>
      <c r="S32" s="445"/>
      <c r="U32" s="444">
        <v>42691</v>
      </c>
      <c r="V32" s="445">
        <v>335703.28</v>
      </c>
      <c r="X32" s="444">
        <v>42313</v>
      </c>
      <c r="Y32" s="445">
        <v>-143585.01</v>
      </c>
    </row>
    <row r="33" spans="1:25" ht="11.25">
      <c r="A33" s="510"/>
      <c r="B33" s="305" t="s">
        <v>418</v>
      </c>
      <c r="C33" s="517">
        <v>25000</v>
      </c>
      <c r="D33" s="458"/>
      <c r="E33" s="123">
        <v>15808.04</v>
      </c>
      <c r="F33" s="124">
        <f t="shared" si="2"/>
        <v>1756.448888888889</v>
      </c>
      <c r="G33" s="512">
        <f>C33-(E33+F33)</f>
        <v>7435.511111111111</v>
      </c>
      <c r="H33" s="509"/>
      <c r="I33" s="444"/>
      <c r="J33" s="445"/>
      <c r="L33" s="444"/>
      <c r="M33" s="445"/>
      <c r="O33" s="444"/>
      <c r="P33" s="445"/>
      <c r="R33" s="444"/>
      <c r="S33" s="445"/>
      <c r="U33" s="444">
        <v>42695</v>
      </c>
      <c r="V33" s="445">
        <v>332568.11</v>
      </c>
      <c r="X33" s="444">
        <v>42325</v>
      </c>
      <c r="Y33" s="445">
        <v>-149795.81</v>
      </c>
    </row>
    <row r="34" spans="1:25" ht="11.25">
      <c r="A34" s="510"/>
      <c r="B34" s="305" t="s">
        <v>419</v>
      </c>
      <c r="C34" s="517">
        <v>6500</v>
      </c>
      <c r="D34" s="458"/>
      <c r="E34" s="123">
        <v>4947.13</v>
      </c>
      <c r="F34" s="124">
        <f t="shared" si="2"/>
        <v>549.6811111111111</v>
      </c>
      <c r="G34" s="512">
        <v>0</v>
      </c>
      <c r="H34" s="509"/>
      <c r="I34" s="444"/>
      <c r="J34" s="445"/>
      <c r="L34" s="444"/>
      <c r="M34" s="445"/>
      <c r="O34" s="444"/>
      <c r="P34" s="445"/>
      <c r="R34" s="444"/>
      <c r="S34" s="445"/>
      <c r="U34" s="444">
        <v>42696</v>
      </c>
      <c r="V34" s="445">
        <v>317854.12</v>
      </c>
      <c r="X34" s="444">
        <v>42334</v>
      </c>
      <c r="Y34" s="445">
        <v>-176528.98</v>
      </c>
    </row>
    <row r="35" spans="1:25" ht="11.25">
      <c r="A35" s="510"/>
      <c r="B35" s="305"/>
      <c r="C35" s="21"/>
      <c r="D35" s="21"/>
      <c r="E35" s="123"/>
      <c r="F35" s="124">
        <f>D35-E35</f>
        <v>0</v>
      </c>
      <c r="G35" s="512">
        <f>C35-(E35+F35)</f>
        <v>0</v>
      </c>
      <c r="H35" s="509"/>
      <c r="I35" s="444"/>
      <c r="J35" s="445"/>
      <c r="L35" s="444"/>
      <c r="M35" s="445"/>
      <c r="O35" s="444"/>
      <c r="P35" s="445"/>
      <c r="R35" s="444"/>
      <c r="S35" s="445"/>
      <c r="U35" s="444">
        <v>42697</v>
      </c>
      <c r="V35" s="445">
        <v>296606.52</v>
      </c>
      <c r="X35" s="444">
        <v>42335</v>
      </c>
      <c r="Y35" s="445">
        <v>-96601.46</v>
      </c>
    </row>
    <row r="36" spans="1:25" ht="11.25">
      <c r="A36" s="510"/>
      <c r="B36" s="486"/>
      <c r="C36" s="301"/>
      <c r="D36" s="301"/>
      <c r="E36" s="315"/>
      <c r="F36" s="300">
        <f>D36-E36</f>
        <v>0</v>
      </c>
      <c r="G36" s="516">
        <f>C36-(E36+F36)</f>
        <v>0</v>
      </c>
      <c r="H36" s="518"/>
      <c r="I36" s="444"/>
      <c r="J36" s="445"/>
      <c r="K36" s="519"/>
      <c r="L36" s="444"/>
      <c r="M36" s="445"/>
      <c r="N36" s="519"/>
      <c r="O36" s="444"/>
      <c r="P36" s="445"/>
      <c r="Q36" s="519"/>
      <c r="R36" s="444"/>
      <c r="S36" s="445"/>
      <c r="U36" s="444">
        <v>42705</v>
      </c>
      <c r="V36" s="445">
        <v>261658.95</v>
      </c>
      <c r="X36" s="444">
        <v>42342</v>
      </c>
      <c r="Y36" s="445">
        <v>-101544.5</v>
      </c>
    </row>
    <row r="37" spans="1:25" ht="11.25">
      <c r="A37" s="510">
        <v>22102</v>
      </c>
      <c r="B37" s="481" t="s">
        <v>420</v>
      </c>
      <c r="C37" s="506">
        <v>10000</v>
      </c>
      <c r="D37" s="520"/>
      <c r="E37" s="296">
        <v>8516.95</v>
      </c>
      <c r="F37" s="313">
        <f>E37/9</f>
        <v>946.3277777777779</v>
      </c>
      <c r="G37" s="508">
        <f>C37-(E37+F37)</f>
        <v>536.7222222222208</v>
      </c>
      <c r="H37" s="521"/>
      <c r="I37" s="444"/>
      <c r="J37" s="445"/>
      <c r="K37" s="519"/>
      <c r="L37" s="444"/>
      <c r="M37" s="445"/>
      <c r="N37" s="519"/>
      <c r="O37" s="444"/>
      <c r="P37" s="445"/>
      <c r="Q37" s="519"/>
      <c r="R37" s="444"/>
      <c r="S37" s="445"/>
      <c r="U37" s="444">
        <v>42709</v>
      </c>
      <c r="V37" s="445">
        <v>226125.36</v>
      </c>
      <c r="X37" s="444">
        <v>42317</v>
      </c>
      <c r="Y37" s="445">
        <v>-99565.14</v>
      </c>
    </row>
    <row r="38" spans="1:25" ht="11.25">
      <c r="A38" s="510"/>
      <c r="B38" s="305" t="s">
        <v>421</v>
      </c>
      <c r="C38" s="511">
        <v>1000</v>
      </c>
      <c r="D38" s="459"/>
      <c r="E38" s="123">
        <v>348.4</v>
      </c>
      <c r="F38" s="124">
        <f>E38/9</f>
        <v>38.71111111111111</v>
      </c>
      <c r="G38" s="512">
        <f>C38-(E38+F38)</f>
        <v>612.8888888888889</v>
      </c>
      <c r="H38" s="521"/>
      <c r="I38" s="456"/>
      <c r="J38" s="534"/>
      <c r="K38" s="13"/>
      <c r="L38" s="444"/>
      <c r="M38" s="445"/>
      <c r="N38" s="13"/>
      <c r="O38" s="444"/>
      <c r="P38" s="445"/>
      <c r="Q38" s="13"/>
      <c r="R38" s="444"/>
      <c r="S38" s="445"/>
      <c r="U38" s="444">
        <v>42718</v>
      </c>
      <c r="V38" s="445">
        <v>208066.75</v>
      </c>
      <c r="X38" s="444">
        <v>42353</v>
      </c>
      <c r="Y38" s="445">
        <v>-91465.07</v>
      </c>
    </row>
    <row r="39" spans="1:25" ht="11.25">
      <c r="A39" s="510"/>
      <c r="B39" s="305" t="s">
        <v>422</v>
      </c>
      <c r="C39" s="511">
        <v>14000</v>
      </c>
      <c r="D39" s="459"/>
      <c r="E39" s="123">
        <v>22921.42</v>
      </c>
      <c r="F39" s="124">
        <f aca="true" t="shared" si="3" ref="F39:F44">E39/9</f>
        <v>2546.8244444444445</v>
      </c>
      <c r="G39" s="512">
        <f aca="true" t="shared" si="4" ref="G39:G45">C39-(E39+F39)</f>
        <v>-11468.24444444444</v>
      </c>
      <c r="H39" s="521"/>
      <c r="I39" s="444"/>
      <c r="J39" s="124"/>
      <c r="K39" s="21"/>
      <c r="L39" s="525"/>
      <c r="M39" s="124"/>
      <c r="N39" s="21"/>
      <c r="O39" s="525"/>
      <c r="P39" s="124"/>
      <c r="Q39" s="21"/>
      <c r="R39" s="525"/>
      <c r="S39" s="124"/>
      <c r="U39" s="444">
        <v>42719</v>
      </c>
      <c r="V39" s="445">
        <v>188698.31</v>
      </c>
      <c r="X39" s="444">
        <v>42354</v>
      </c>
      <c r="Y39" s="445">
        <v>-103738.58</v>
      </c>
    </row>
    <row r="40" spans="1:25" ht="11.25">
      <c r="A40" s="510"/>
      <c r="B40" s="305" t="s">
        <v>423</v>
      </c>
      <c r="C40" s="511">
        <v>6000</v>
      </c>
      <c r="D40" s="459"/>
      <c r="E40" s="123">
        <v>2965.33</v>
      </c>
      <c r="F40" s="124">
        <f t="shared" si="3"/>
        <v>329.4811111111111</v>
      </c>
      <c r="G40" s="512">
        <f t="shared" si="4"/>
        <v>2705.188888888889</v>
      </c>
      <c r="H40" s="521"/>
      <c r="I40" s="444"/>
      <c r="J40" s="124"/>
      <c r="K40" s="21"/>
      <c r="L40" s="525"/>
      <c r="M40" s="124"/>
      <c r="N40" s="21"/>
      <c r="O40" s="525"/>
      <c r="P40" s="124"/>
      <c r="Q40" s="21"/>
      <c r="R40" s="525"/>
      <c r="S40" s="124"/>
      <c r="U40" s="444">
        <v>42723</v>
      </c>
      <c r="V40" s="445">
        <v>160990.95</v>
      </c>
      <c r="X40" s="444">
        <v>42359</v>
      </c>
      <c r="Y40" s="445">
        <v>-119171.68</v>
      </c>
    </row>
    <row r="41" spans="1:24" ht="11.25">
      <c r="A41" s="510"/>
      <c r="B41" s="305" t="s">
        <v>424</v>
      </c>
      <c r="C41" s="511">
        <v>500</v>
      </c>
      <c r="D41" s="459"/>
      <c r="E41" s="123"/>
      <c r="F41" s="124">
        <f t="shared" si="3"/>
        <v>0</v>
      </c>
      <c r="G41" s="512">
        <f t="shared" si="4"/>
        <v>500</v>
      </c>
      <c r="H41" s="521"/>
      <c r="J41" s="21"/>
      <c r="K41" s="525"/>
      <c r="L41" s="124"/>
      <c r="M41" s="21"/>
      <c r="N41" s="525"/>
      <c r="O41" s="124"/>
      <c r="P41" s="21"/>
      <c r="Q41" s="525"/>
      <c r="R41" s="124"/>
      <c r="S41" s="21"/>
      <c r="T41" s="525">
        <v>42726</v>
      </c>
      <c r="U41" s="445">
        <v>153008.94</v>
      </c>
      <c r="W41" s="444">
        <v>42360</v>
      </c>
      <c r="X41" s="445">
        <v>46850.21</v>
      </c>
    </row>
    <row r="42" spans="1:24" ht="11.25">
      <c r="A42" s="510"/>
      <c r="B42" s="305" t="s">
        <v>425</v>
      </c>
      <c r="C42" s="511">
        <v>100</v>
      </c>
      <c r="D42" s="459"/>
      <c r="E42" s="123"/>
      <c r="F42" s="124">
        <f t="shared" si="3"/>
        <v>0</v>
      </c>
      <c r="G42" s="512">
        <f t="shared" si="4"/>
        <v>100</v>
      </c>
      <c r="H42" s="521"/>
      <c r="J42" s="21"/>
      <c r="K42" s="525"/>
      <c r="L42" s="124"/>
      <c r="M42" s="21"/>
      <c r="N42" s="525"/>
      <c r="O42" s="124"/>
      <c r="P42" s="21"/>
      <c r="Q42" s="525"/>
      <c r="R42" s="124"/>
      <c r="S42" s="21"/>
      <c r="T42" s="525">
        <v>42738</v>
      </c>
      <c r="U42" s="445">
        <v>71953.04</v>
      </c>
      <c r="W42" s="444">
        <v>42360</v>
      </c>
      <c r="X42" s="445">
        <v>28166.95</v>
      </c>
    </row>
    <row r="43" spans="1:24" ht="11.25">
      <c r="A43" s="510"/>
      <c r="B43" s="305" t="s">
        <v>426</v>
      </c>
      <c r="C43" s="511">
        <v>100</v>
      </c>
      <c r="D43" s="459"/>
      <c r="E43" s="123"/>
      <c r="F43" s="124">
        <f t="shared" si="3"/>
        <v>0</v>
      </c>
      <c r="G43" s="512">
        <f t="shared" si="4"/>
        <v>100</v>
      </c>
      <c r="H43" s="521"/>
      <c r="J43" s="21"/>
      <c r="K43" s="525"/>
      <c r="L43" s="124"/>
      <c r="M43" s="21"/>
      <c r="N43" s="525"/>
      <c r="O43" s="124"/>
      <c r="P43" s="21"/>
      <c r="Q43" s="525"/>
      <c r="R43" s="124"/>
      <c r="S43" s="21"/>
      <c r="T43" s="525"/>
      <c r="U43" s="445"/>
      <c r="W43" s="444">
        <v>42374</v>
      </c>
      <c r="X43" s="445">
        <v>-31044.93</v>
      </c>
    </row>
    <row r="44" spans="1:24" ht="11.25">
      <c r="A44" s="510"/>
      <c r="B44" s="305" t="s">
        <v>427</v>
      </c>
      <c r="C44" s="511">
        <v>18000</v>
      </c>
      <c r="D44" s="459"/>
      <c r="E44" s="123">
        <v>11336.5</v>
      </c>
      <c r="F44" s="124">
        <f t="shared" si="3"/>
        <v>1259.611111111111</v>
      </c>
      <c r="G44" s="512">
        <v>0</v>
      </c>
      <c r="H44" s="521"/>
      <c r="J44" s="21"/>
      <c r="K44" s="525"/>
      <c r="L44" s="124"/>
      <c r="M44" s="21"/>
      <c r="N44" s="525"/>
      <c r="O44" s="124"/>
      <c r="P44" s="21"/>
      <c r="Q44" s="525"/>
      <c r="R44" s="124"/>
      <c r="S44" s="21"/>
      <c r="T44" s="525"/>
      <c r="U44" s="445"/>
      <c r="W44" s="305"/>
      <c r="X44" s="321"/>
    </row>
    <row r="45" spans="1:24" ht="11.25">
      <c r="A45" s="510"/>
      <c r="B45" s="305" t="s">
        <v>428</v>
      </c>
      <c r="C45" s="511">
        <v>100</v>
      </c>
      <c r="D45" s="459"/>
      <c r="E45" s="123"/>
      <c r="F45" s="124">
        <f>D45-E45</f>
        <v>0</v>
      </c>
      <c r="G45" s="512">
        <f t="shared" si="4"/>
        <v>100</v>
      </c>
      <c r="H45" s="521"/>
      <c r="J45" s="21"/>
      <c r="K45" s="525"/>
      <c r="L45" s="124"/>
      <c r="M45" s="21"/>
      <c r="N45" s="525"/>
      <c r="O45" s="124"/>
      <c r="P45" s="21"/>
      <c r="Q45" s="525"/>
      <c r="R45" s="124"/>
      <c r="S45" s="21"/>
      <c r="T45" s="525"/>
      <c r="U45" s="445"/>
      <c r="W45" s="305"/>
      <c r="X45" s="321"/>
    </row>
    <row r="46" spans="1:24" ht="11.25">
      <c r="A46" s="510"/>
      <c r="B46" s="486"/>
      <c r="C46" s="514"/>
      <c r="D46" s="522"/>
      <c r="E46" s="315"/>
      <c r="F46" s="300"/>
      <c r="G46" s="516"/>
      <c r="H46" s="523"/>
      <c r="J46" s="21"/>
      <c r="K46" s="525"/>
      <c r="L46" s="124"/>
      <c r="M46" s="21"/>
      <c r="N46" s="525"/>
      <c r="O46" s="124"/>
      <c r="P46" s="21"/>
      <c r="Q46" s="525"/>
      <c r="R46" s="124"/>
      <c r="S46" s="21"/>
      <c r="T46" s="525"/>
      <c r="U46" s="445"/>
      <c r="W46" s="444"/>
      <c r="X46" s="445"/>
    </row>
    <row r="47" spans="1:24" ht="11.25">
      <c r="A47" s="510"/>
      <c r="B47" s="305" t="s">
        <v>429</v>
      </c>
      <c r="C47" s="517">
        <v>10909.09</v>
      </c>
      <c r="D47" s="459"/>
      <c r="E47" s="123">
        <v>7682.3</v>
      </c>
      <c r="F47" s="124">
        <f>E47/9</f>
        <v>853.588888888889</v>
      </c>
      <c r="G47" s="512">
        <v>0</v>
      </c>
      <c r="H47" s="21"/>
      <c r="J47" s="21"/>
      <c r="K47" s="525"/>
      <c r="L47" s="124"/>
      <c r="M47" s="21"/>
      <c r="N47" s="525"/>
      <c r="O47" s="124"/>
      <c r="P47" s="21"/>
      <c r="Q47" s="525"/>
      <c r="R47" s="124"/>
      <c r="S47" s="21"/>
      <c r="T47" s="525"/>
      <c r="U47" s="445"/>
      <c r="W47" s="444"/>
      <c r="X47" s="445"/>
    </row>
    <row r="48" spans="1:24" ht="11.25">
      <c r="A48" s="510"/>
      <c r="B48" s="305" t="s">
        <v>430</v>
      </c>
      <c r="C48" s="517">
        <v>5000</v>
      </c>
      <c r="D48" s="459"/>
      <c r="E48" s="123">
        <v>3079.81</v>
      </c>
      <c r="F48" s="124">
        <f>E48/9</f>
        <v>342.2011111111111</v>
      </c>
      <c r="G48" s="512">
        <f>C48-(E48+F48)</f>
        <v>1577.988888888889</v>
      </c>
      <c r="H48" s="524"/>
      <c r="J48" s="21"/>
      <c r="K48" s="525"/>
      <c r="L48" s="124"/>
      <c r="M48" s="21"/>
      <c r="N48" s="525"/>
      <c r="O48" s="124"/>
      <c r="P48" s="21"/>
      <c r="Q48" s="525"/>
      <c r="R48" s="124"/>
      <c r="S48" s="21"/>
      <c r="T48" s="525"/>
      <c r="U48" s="445"/>
      <c r="W48" s="444"/>
      <c r="X48" s="445"/>
    </row>
    <row r="49" spans="1:24" ht="11.25">
      <c r="A49" s="510"/>
      <c r="B49" s="305" t="s">
        <v>431</v>
      </c>
      <c r="C49" s="511">
        <v>10000</v>
      </c>
      <c r="D49" s="459"/>
      <c r="E49" s="123">
        <v>2830.09</v>
      </c>
      <c r="F49" s="124">
        <f aca="true" t="shared" si="5" ref="F49:F57">E49/9</f>
        <v>314.45444444444445</v>
      </c>
      <c r="G49" s="512">
        <v>0</v>
      </c>
      <c r="H49" s="123"/>
      <c r="J49" s="21"/>
      <c r="K49" s="525"/>
      <c r="L49" s="124"/>
      <c r="M49" s="21"/>
      <c r="N49" s="525"/>
      <c r="O49" s="124"/>
      <c r="P49" s="21"/>
      <c r="Q49" s="525"/>
      <c r="R49" s="124"/>
      <c r="S49" s="21"/>
      <c r="T49" s="525"/>
      <c r="U49" s="445"/>
      <c r="W49" s="444"/>
      <c r="X49" s="445"/>
    </row>
    <row r="50" spans="1:24" ht="11.25">
      <c r="A50" s="510">
        <v>22103</v>
      </c>
      <c r="B50" s="305" t="s">
        <v>432</v>
      </c>
      <c r="C50" s="517">
        <v>59090.91</v>
      </c>
      <c r="D50" s="459"/>
      <c r="E50" s="123">
        <v>43371.7</v>
      </c>
      <c r="F50" s="124">
        <f t="shared" si="5"/>
        <v>4819.077777777778</v>
      </c>
      <c r="G50" s="512">
        <v>0</v>
      </c>
      <c r="H50" s="123"/>
      <c r="J50" s="21"/>
      <c r="K50" s="525"/>
      <c r="L50" s="21"/>
      <c r="M50" s="21"/>
      <c r="N50" s="525"/>
      <c r="O50" s="21"/>
      <c r="P50" s="21"/>
      <c r="Q50" s="525"/>
      <c r="R50" s="21"/>
      <c r="S50" s="21"/>
      <c r="T50" s="539"/>
      <c r="U50" s="316"/>
      <c r="W50" s="444"/>
      <c r="X50" s="445"/>
    </row>
    <row r="51" spans="1:24" ht="11.25">
      <c r="A51" s="510"/>
      <c r="B51" s="305" t="s">
        <v>433</v>
      </c>
      <c r="C51" s="517">
        <v>21000</v>
      </c>
      <c r="D51" s="459"/>
      <c r="E51" s="123">
        <v>11649.14</v>
      </c>
      <c r="F51" s="124">
        <f t="shared" si="5"/>
        <v>1294.3488888888887</v>
      </c>
      <c r="G51" s="512">
        <v>0</v>
      </c>
      <c r="H51" s="123"/>
      <c r="J51" s="21"/>
      <c r="K51" s="21"/>
      <c r="L51" s="21"/>
      <c r="M51" s="21"/>
      <c r="N51" s="21"/>
      <c r="O51" s="21"/>
      <c r="P51" s="21"/>
      <c r="Q51" s="21"/>
      <c r="R51" s="21"/>
      <c r="S51" s="21"/>
      <c r="W51" s="456"/>
      <c r="X51" s="316"/>
    </row>
    <row r="52" spans="1:19" ht="11.25">
      <c r="A52" s="510"/>
      <c r="B52" s="305" t="s">
        <v>434</v>
      </c>
      <c r="C52" s="517">
        <v>5000</v>
      </c>
      <c r="D52" s="459"/>
      <c r="E52" s="123">
        <v>4396.94</v>
      </c>
      <c r="F52" s="124">
        <f t="shared" si="5"/>
        <v>488.5488888888888</v>
      </c>
      <c r="G52" s="512">
        <v>0</v>
      </c>
      <c r="H52" s="123"/>
      <c r="J52" s="525"/>
      <c r="K52" s="525"/>
      <c r="L52" s="525"/>
      <c r="M52" s="21"/>
      <c r="N52" s="21"/>
      <c r="O52" s="21"/>
      <c r="P52" s="21"/>
      <c r="Q52" s="21"/>
      <c r="R52" s="21"/>
      <c r="S52" s="21"/>
    </row>
    <row r="53" spans="1:13" ht="11.25">
      <c r="A53" s="510"/>
      <c r="B53" s="305" t="s">
        <v>435</v>
      </c>
      <c r="C53" s="517">
        <v>6629.85</v>
      </c>
      <c r="D53" s="459"/>
      <c r="E53" s="123">
        <v>6629.85</v>
      </c>
      <c r="F53" s="124">
        <f t="shared" si="5"/>
        <v>736.6500000000001</v>
      </c>
      <c r="G53" s="512">
        <v>0</v>
      </c>
      <c r="H53" s="123"/>
      <c r="J53" s="525"/>
      <c r="K53" s="525"/>
      <c r="L53" s="525"/>
      <c r="M53" s="21"/>
    </row>
    <row r="54" spans="1:13" ht="11.25">
      <c r="A54" s="510"/>
      <c r="B54" s="305" t="s">
        <v>436</v>
      </c>
      <c r="C54" s="517">
        <v>5000</v>
      </c>
      <c r="D54" s="459"/>
      <c r="E54" s="123">
        <v>0</v>
      </c>
      <c r="F54" s="124">
        <f t="shared" si="5"/>
        <v>0</v>
      </c>
      <c r="G54" s="512">
        <v>0</v>
      </c>
      <c r="H54" s="123"/>
      <c r="J54" s="525"/>
      <c r="K54" s="525"/>
      <c r="L54" s="525"/>
      <c r="M54" s="21"/>
    </row>
    <row r="55" spans="1:13" ht="11.25">
      <c r="A55" s="510"/>
      <c r="B55" s="305" t="s">
        <v>437</v>
      </c>
      <c r="C55" s="517">
        <v>2526.46</v>
      </c>
      <c r="D55" s="459"/>
      <c r="E55" s="123">
        <v>1473.54</v>
      </c>
      <c r="F55" s="124">
        <f t="shared" si="5"/>
        <v>163.72666666666666</v>
      </c>
      <c r="G55" s="512">
        <f>C55-(E55+F55)</f>
        <v>889.1933333333334</v>
      </c>
      <c r="H55" s="123"/>
      <c r="J55" s="525"/>
      <c r="K55" s="525"/>
      <c r="L55" s="525"/>
      <c r="M55" s="21"/>
    </row>
    <row r="56" spans="1:13" ht="11.25">
      <c r="A56" s="510"/>
      <c r="B56" s="305" t="s">
        <v>438</v>
      </c>
      <c r="C56" s="517">
        <v>2096.03</v>
      </c>
      <c r="D56" s="459"/>
      <c r="E56" s="123">
        <v>509.56</v>
      </c>
      <c r="F56" s="124">
        <f t="shared" si="5"/>
        <v>56.617777777777775</v>
      </c>
      <c r="G56" s="512">
        <f>C56-(E56+F56)</f>
        <v>1529.8522222222223</v>
      </c>
      <c r="H56" s="123"/>
      <c r="J56" s="525"/>
      <c r="K56" s="525"/>
      <c r="L56" s="525"/>
      <c r="M56" s="21"/>
    </row>
    <row r="57" spans="1:13" ht="11.25">
      <c r="A57" s="510"/>
      <c r="B57" s="305" t="s">
        <v>439</v>
      </c>
      <c r="C57" s="517">
        <v>9962.84</v>
      </c>
      <c r="D57" s="459"/>
      <c r="E57" s="123">
        <v>4134.09</v>
      </c>
      <c r="F57" s="124">
        <f t="shared" si="5"/>
        <v>459.34333333333336</v>
      </c>
      <c r="G57" s="512">
        <f>C57-(E57+F57)</f>
        <v>5369.406666666667</v>
      </c>
      <c r="H57" s="123"/>
      <c r="J57" s="525"/>
      <c r="K57" s="525"/>
      <c r="L57" s="525"/>
      <c r="M57" s="21"/>
    </row>
    <row r="58" spans="1:13" ht="11.25">
      <c r="A58" s="510"/>
      <c r="B58" s="305"/>
      <c r="C58" s="21"/>
      <c r="D58" s="21"/>
      <c r="E58" s="21"/>
      <c r="F58" s="21"/>
      <c r="G58" s="321"/>
      <c r="H58" s="123"/>
      <c r="J58" s="525"/>
      <c r="K58" s="525"/>
      <c r="L58" s="525"/>
      <c r="M58" s="21"/>
    </row>
    <row r="59" spans="1:8" ht="11.25">
      <c r="A59" s="510"/>
      <c r="B59" s="486"/>
      <c r="C59" s="526"/>
      <c r="D59" s="527"/>
      <c r="E59" s="526"/>
      <c r="F59" s="527"/>
      <c r="G59" s="528"/>
      <c r="H59" s="123"/>
    </row>
    <row r="60" spans="1:8" ht="11.25">
      <c r="A60" s="510"/>
      <c r="B60" s="305" t="s">
        <v>440</v>
      </c>
      <c r="C60" s="123"/>
      <c r="D60" s="123"/>
      <c r="E60" s="123"/>
      <c r="F60" s="123"/>
      <c r="G60" s="455">
        <v>40000</v>
      </c>
      <c r="H60" s="123"/>
    </row>
    <row r="61" spans="1:8" ht="11.25">
      <c r="A61" s="510"/>
      <c r="B61" s="305" t="s">
        <v>441</v>
      </c>
      <c r="C61" s="123"/>
      <c r="D61" s="123"/>
      <c r="E61" s="123"/>
      <c r="F61" s="123"/>
      <c r="G61" s="455"/>
      <c r="H61" s="123"/>
    </row>
    <row r="62" spans="1:8" ht="11.25">
      <c r="A62" s="510"/>
      <c r="B62" s="305" t="s">
        <v>442</v>
      </c>
      <c r="C62" s="123"/>
      <c r="D62" s="123"/>
      <c r="E62" s="123"/>
      <c r="F62" s="123"/>
      <c r="G62" s="455"/>
      <c r="H62" s="123"/>
    </row>
    <row r="63" spans="1:8" ht="11.25">
      <c r="A63" s="510"/>
      <c r="B63" s="305" t="s">
        <v>443</v>
      </c>
      <c r="C63" s="123"/>
      <c r="D63" s="123"/>
      <c r="E63" s="123"/>
      <c r="F63" s="123"/>
      <c r="G63" s="455"/>
      <c r="H63" s="123"/>
    </row>
    <row r="64" spans="1:8" ht="11.25">
      <c r="A64" s="510"/>
      <c r="B64" s="305" t="s">
        <v>444</v>
      </c>
      <c r="C64" s="123"/>
      <c r="D64" s="123"/>
      <c r="E64" s="123"/>
      <c r="F64" s="123"/>
      <c r="G64" s="455"/>
      <c r="H64" s="123"/>
    </row>
    <row r="65" spans="1:8" ht="11.25">
      <c r="A65" s="510"/>
      <c r="B65" s="305" t="s">
        <v>445</v>
      </c>
      <c r="C65" s="123"/>
      <c r="D65" s="123"/>
      <c r="E65" s="123"/>
      <c r="F65" s="123"/>
      <c r="G65" s="455"/>
      <c r="H65" s="123"/>
    </row>
    <row r="66" spans="1:8" ht="11.25">
      <c r="A66" s="510"/>
      <c r="B66" s="305" t="s">
        <v>493</v>
      </c>
      <c r="C66" s="123"/>
      <c r="D66" s="123"/>
      <c r="E66" s="123"/>
      <c r="F66" s="123"/>
      <c r="G66" s="455">
        <v>125000</v>
      </c>
      <c r="H66" s="123"/>
    </row>
    <row r="67" spans="1:8" ht="11.25">
      <c r="A67" s="510"/>
      <c r="B67" s="305" t="s">
        <v>446</v>
      </c>
      <c r="C67" s="123"/>
      <c r="D67" s="123"/>
      <c r="E67" s="123"/>
      <c r="F67" s="123"/>
      <c r="G67" s="455"/>
      <c r="H67" s="123"/>
    </row>
    <row r="68" spans="1:8" ht="11.25">
      <c r="A68" s="510"/>
      <c r="B68" s="305" t="s">
        <v>447</v>
      </c>
      <c r="C68" s="123"/>
      <c r="D68" s="123"/>
      <c r="E68" s="123"/>
      <c r="F68" s="123"/>
      <c r="G68" s="455"/>
      <c r="H68" s="123"/>
    </row>
    <row r="69" spans="1:8" ht="11.25">
      <c r="A69" s="510"/>
      <c r="B69" s="305" t="s">
        <v>448</v>
      </c>
      <c r="C69" s="123"/>
      <c r="D69" s="123"/>
      <c r="E69" s="123"/>
      <c r="F69" s="123"/>
      <c r="G69" s="455"/>
      <c r="H69" s="123"/>
    </row>
    <row r="70" spans="1:8" ht="11.25">
      <c r="A70" s="510"/>
      <c r="B70" s="305" t="s">
        <v>449</v>
      </c>
      <c r="C70" s="123"/>
      <c r="D70" s="123"/>
      <c r="E70" s="123"/>
      <c r="F70" s="123"/>
      <c r="G70" s="455"/>
      <c r="H70" s="123"/>
    </row>
    <row r="71" spans="1:8" ht="11.25">
      <c r="A71" s="510"/>
      <c r="B71" s="305" t="s">
        <v>450</v>
      </c>
      <c r="C71" s="123"/>
      <c r="D71" s="123"/>
      <c r="E71" s="123"/>
      <c r="F71" s="123"/>
      <c r="G71" s="455"/>
      <c r="H71" s="123"/>
    </row>
    <row r="72" spans="1:8" ht="11.25">
      <c r="A72" s="510"/>
      <c r="B72" s="305" t="s">
        <v>451</v>
      </c>
      <c r="C72" s="123"/>
      <c r="D72" s="123"/>
      <c r="E72" s="123"/>
      <c r="F72" s="123"/>
      <c r="G72" s="455"/>
      <c r="H72" s="123"/>
    </row>
    <row r="73" spans="1:8" ht="11.25">
      <c r="A73" s="510"/>
      <c r="B73" s="305" t="s">
        <v>452</v>
      </c>
      <c r="C73" s="123"/>
      <c r="D73" s="123"/>
      <c r="E73" s="123"/>
      <c r="F73" s="123"/>
      <c r="G73" s="455"/>
      <c r="H73" s="123"/>
    </row>
    <row r="74" spans="1:8" ht="11.25">
      <c r="A74" s="510"/>
      <c r="B74" s="305" t="s">
        <v>453</v>
      </c>
      <c r="C74" s="123"/>
      <c r="D74" s="123"/>
      <c r="E74" s="123"/>
      <c r="F74" s="123"/>
      <c r="G74" s="455"/>
      <c r="H74" s="123"/>
    </row>
    <row r="75" spans="1:8" ht="11.25">
      <c r="A75" s="510">
        <v>92</v>
      </c>
      <c r="B75" s="305" t="s">
        <v>494</v>
      </c>
      <c r="C75" s="123"/>
      <c r="D75" s="123"/>
      <c r="E75" s="123"/>
      <c r="F75" s="123"/>
      <c r="G75" s="455">
        <v>40000</v>
      </c>
      <c r="H75" s="529"/>
    </row>
    <row r="76" spans="1:8" ht="11.25">
      <c r="A76" s="510">
        <v>89</v>
      </c>
      <c r="B76" s="305" t="s">
        <v>454</v>
      </c>
      <c r="C76" s="123"/>
      <c r="D76" s="123"/>
      <c r="E76" s="123"/>
      <c r="F76" s="123"/>
      <c r="G76" s="455"/>
      <c r="H76" s="123"/>
    </row>
    <row r="77" spans="1:8" ht="11.25">
      <c r="A77" s="510">
        <v>74</v>
      </c>
      <c r="B77" s="305" t="s">
        <v>455</v>
      </c>
      <c r="C77" s="123"/>
      <c r="D77" s="123"/>
      <c r="E77" s="123"/>
      <c r="F77" s="123"/>
      <c r="G77" s="455"/>
      <c r="H77" s="123"/>
    </row>
    <row r="78" spans="1:8" ht="11.25">
      <c r="A78" s="510"/>
      <c r="B78" s="305" t="s">
        <v>456</v>
      </c>
      <c r="C78" s="123"/>
      <c r="D78" s="123"/>
      <c r="E78" s="123"/>
      <c r="F78" s="123"/>
      <c r="G78" s="455"/>
      <c r="H78" s="123"/>
    </row>
    <row r="79" spans="1:8" ht="11.25">
      <c r="A79" s="510"/>
      <c r="B79" s="305" t="s">
        <v>457</v>
      </c>
      <c r="C79" s="123"/>
      <c r="D79" s="123"/>
      <c r="E79" s="123"/>
      <c r="F79" s="123"/>
      <c r="G79" s="455"/>
      <c r="H79" s="123"/>
    </row>
    <row r="80" spans="1:8" ht="11.25">
      <c r="A80" s="510"/>
      <c r="B80" s="305" t="s">
        <v>458</v>
      </c>
      <c r="C80" s="123"/>
      <c r="D80" s="123"/>
      <c r="E80" s="123"/>
      <c r="F80" s="123"/>
      <c r="G80" s="455"/>
      <c r="H80" s="123"/>
    </row>
    <row r="81" spans="1:8" ht="11.25">
      <c r="A81" s="510"/>
      <c r="B81" s="305" t="s">
        <v>459</v>
      </c>
      <c r="C81" s="123"/>
      <c r="D81" s="123"/>
      <c r="E81" s="123"/>
      <c r="F81" s="123"/>
      <c r="G81" s="530"/>
      <c r="H81" s="123"/>
    </row>
    <row r="82" spans="1:8" ht="11.25">
      <c r="A82" s="510"/>
      <c r="B82" s="305" t="s">
        <v>460</v>
      </c>
      <c r="C82" s="123"/>
      <c r="D82" s="123"/>
      <c r="E82" s="123"/>
      <c r="F82" s="123"/>
      <c r="G82" s="530"/>
      <c r="H82" s="123"/>
    </row>
    <row r="83" spans="1:8" ht="11.25">
      <c r="A83" s="510"/>
      <c r="B83" s="305" t="s">
        <v>461</v>
      </c>
      <c r="C83" s="123"/>
      <c r="D83" s="123"/>
      <c r="E83" s="123"/>
      <c r="F83" s="123"/>
      <c r="G83" s="455"/>
      <c r="H83" s="123"/>
    </row>
    <row r="84" spans="1:8" ht="11.25">
      <c r="A84" s="510"/>
      <c r="B84" s="305" t="s">
        <v>462</v>
      </c>
      <c r="C84" s="123"/>
      <c r="D84" s="123"/>
      <c r="E84" s="123"/>
      <c r="F84" s="123"/>
      <c r="G84" s="455"/>
      <c r="H84" s="529"/>
    </row>
    <row r="85" spans="1:8" ht="11.25">
      <c r="A85" s="510"/>
      <c r="B85" s="531" t="s">
        <v>463</v>
      </c>
      <c r="C85" s="529"/>
      <c r="D85" s="529"/>
      <c r="E85" s="529"/>
      <c r="F85" s="529"/>
      <c r="G85" s="530"/>
      <c r="H85" s="529"/>
    </row>
    <row r="86" spans="1:8" ht="11.25">
      <c r="A86" s="510"/>
      <c r="B86" s="531" t="s">
        <v>464</v>
      </c>
      <c r="C86" s="529"/>
      <c r="D86" s="529"/>
      <c r="E86" s="529"/>
      <c r="F86" s="529"/>
      <c r="G86" s="530"/>
      <c r="H86" s="529"/>
    </row>
    <row r="87" spans="1:8" ht="11.25">
      <c r="A87" s="510"/>
      <c r="B87" s="531" t="s">
        <v>465</v>
      </c>
      <c r="C87" s="529"/>
      <c r="D87" s="529"/>
      <c r="E87" s="529"/>
      <c r="F87" s="529"/>
      <c r="G87" s="530"/>
      <c r="H87" s="529"/>
    </row>
    <row r="88" spans="1:8" ht="11.25">
      <c r="A88" s="510"/>
      <c r="B88" s="531" t="s">
        <v>466</v>
      </c>
      <c r="C88" s="529"/>
      <c r="D88" s="529"/>
      <c r="E88" s="529"/>
      <c r="F88" s="529"/>
      <c r="G88" s="530"/>
      <c r="H88" s="529"/>
    </row>
    <row r="89" spans="1:8" ht="11.25">
      <c r="A89" s="510"/>
      <c r="B89" s="531" t="s">
        <v>467</v>
      </c>
      <c r="C89" s="529"/>
      <c r="D89" s="529"/>
      <c r="E89" s="529"/>
      <c r="F89" s="529"/>
      <c r="G89" s="530"/>
      <c r="H89" s="529"/>
    </row>
    <row r="90" spans="1:8" ht="11.25">
      <c r="A90" s="510"/>
      <c r="B90" s="531" t="s">
        <v>468</v>
      </c>
      <c r="C90" s="529"/>
      <c r="D90" s="529"/>
      <c r="E90" s="529"/>
      <c r="F90" s="529"/>
      <c r="G90" s="530"/>
      <c r="H90" s="529"/>
    </row>
    <row r="91" spans="1:8" ht="11.25">
      <c r="A91" s="510"/>
      <c r="B91" s="531" t="s">
        <v>469</v>
      </c>
      <c r="C91" s="529"/>
      <c r="D91" s="529"/>
      <c r="E91" s="529"/>
      <c r="F91" s="529"/>
      <c r="G91" s="530"/>
      <c r="H91" s="529"/>
    </row>
    <row r="92" spans="1:8" ht="11.25">
      <c r="A92" s="510"/>
      <c r="B92" s="531" t="s">
        <v>445</v>
      </c>
      <c r="C92" s="529"/>
      <c r="D92" s="529"/>
      <c r="E92" s="529"/>
      <c r="F92" s="529"/>
      <c r="G92" s="530"/>
      <c r="H92" s="529"/>
    </row>
    <row r="93" spans="1:8" ht="11.25">
      <c r="A93" s="510"/>
      <c r="B93" s="531" t="s">
        <v>450</v>
      </c>
      <c r="C93" s="529"/>
      <c r="D93" s="529"/>
      <c r="E93" s="529"/>
      <c r="F93" s="529"/>
      <c r="G93" s="530"/>
      <c r="H93" s="529"/>
    </row>
    <row r="94" spans="1:8" ht="11.25">
      <c r="A94" s="510"/>
      <c r="B94" s="531" t="s">
        <v>470</v>
      </c>
      <c r="C94" s="529"/>
      <c r="D94" s="529"/>
      <c r="E94" s="529"/>
      <c r="F94" s="529"/>
      <c r="G94" s="530"/>
      <c r="H94" s="529"/>
    </row>
    <row r="95" spans="1:8" ht="11.25">
      <c r="A95" s="510"/>
      <c r="B95" s="531" t="s">
        <v>445</v>
      </c>
      <c r="C95" s="529"/>
      <c r="D95" s="529"/>
      <c r="E95" s="529"/>
      <c r="F95" s="529"/>
      <c r="G95" s="530"/>
      <c r="H95" s="529"/>
    </row>
    <row r="96" spans="1:8" ht="11.25">
      <c r="A96" s="510"/>
      <c r="B96" s="531" t="s">
        <v>471</v>
      </c>
      <c r="C96" s="529"/>
      <c r="D96" s="529"/>
      <c r="E96" s="529"/>
      <c r="F96" s="529"/>
      <c r="G96" s="530"/>
      <c r="H96" s="529"/>
    </row>
    <row r="97" spans="1:8" ht="11.25">
      <c r="A97" s="510"/>
      <c r="B97" s="531" t="s">
        <v>472</v>
      </c>
      <c r="C97" s="529"/>
      <c r="D97" s="529"/>
      <c r="E97" s="529"/>
      <c r="F97" s="529"/>
      <c r="G97" s="530"/>
      <c r="H97" s="529"/>
    </row>
    <row r="98" spans="1:8" ht="11.25">
      <c r="A98" s="510"/>
      <c r="B98" s="531" t="s">
        <v>491</v>
      </c>
      <c r="C98" s="529"/>
      <c r="D98" s="529"/>
      <c r="E98" s="529"/>
      <c r="F98" s="529"/>
      <c r="G98" s="530">
        <v>50000</v>
      </c>
      <c r="H98" s="529"/>
    </row>
    <row r="99" spans="1:8" ht="11.25">
      <c r="A99" s="510"/>
      <c r="B99" s="531" t="s">
        <v>492</v>
      </c>
      <c r="C99" s="529"/>
      <c r="D99" s="529"/>
      <c r="E99" s="529"/>
      <c r="F99" s="529"/>
      <c r="G99" s="530"/>
      <c r="H99" s="529"/>
    </row>
    <row r="100" spans="1:8" ht="11.25">
      <c r="A100" s="510"/>
      <c r="B100" s="531"/>
      <c r="C100" s="529"/>
      <c r="D100" s="529"/>
      <c r="E100" s="529"/>
      <c r="F100" s="529"/>
      <c r="G100" s="530"/>
      <c r="H100" s="529"/>
    </row>
    <row r="101" spans="1:8" ht="11.25">
      <c r="A101" s="510"/>
      <c r="B101" s="531"/>
      <c r="C101" s="529"/>
      <c r="D101" s="529"/>
      <c r="E101" s="529"/>
      <c r="F101" s="529"/>
      <c r="G101" s="530"/>
      <c r="H101" s="529"/>
    </row>
    <row r="102" spans="1:8" ht="11.25">
      <c r="A102" s="510"/>
      <c r="B102" s="531"/>
      <c r="C102" s="529"/>
      <c r="D102" s="529"/>
      <c r="E102" s="529"/>
      <c r="F102" s="529"/>
      <c r="G102" s="530"/>
      <c r="H102" s="529"/>
    </row>
    <row r="103" spans="1:8" ht="11.25">
      <c r="A103" s="510"/>
      <c r="B103" s="531"/>
      <c r="C103" s="529"/>
      <c r="D103" s="529"/>
      <c r="E103" s="529"/>
      <c r="F103" s="529"/>
      <c r="G103" s="530"/>
      <c r="H103" s="529"/>
    </row>
    <row r="104" spans="1:8" ht="11.25">
      <c r="A104" s="510"/>
      <c r="B104" s="531"/>
      <c r="C104" s="529"/>
      <c r="D104" s="529"/>
      <c r="E104" s="529"/>
      <c r="F104" s="529"/>
      <c r="G104" s="530"/>
      <c r="H104" s="529"/>
    </row>
    <row r="105" spans="1:12" ht="11.25">
      <c r="A105" s="510"/>
      <c r="B105" s="305" t="s">
        <v>473</v>
      </c>
      <c r="C105" s="123"/>
      <c r="D105" s="123"/>
      <c r="E105" s="123"/>
      <c r="F105" s="123"/>
      <c r="G105" s="455"/>
      <c r="H105" s="124"/>
      <c r="L105" s="532"/>
    </row>
    <row r="106" spans="1:8" ht="11.25">
      <c r="A106" s="510"/>
      <c r="B106" s="305" t="s">
        <v>474</v>
      </c>
      <c r="C106" s="123"/>
      <c r="D106" s="123"/>
      <c r="E106" s="123"/>
      <c r="F106" s="123"/>
      <c r="G106" s="455"/>
      <c r="H106" s="533"/>
    </row>
    <row r="107" spans="1:7" ht="11.25">
      <c r="A107" s="510"/>
      <c r="B107" s="305" t="s">
        <v>475</v>
      </c>
      <c r="C107" s="123"/>
      <c r="D107" s="123"/>
      <c r="E107" s="123"/>
      <c r="F107" s="123"/>
      <c r="G107" s="455"/>
    </row>
    <row r="108" spans="1:7" ht="11.25">
      <c r="A108" s="510"/>
      <c r="B108" s="305" t="s">
        <v>476</v>
      </c>
      <c r="C108" s="123"/>
      <c r="D108" s="123"/>
      <c r="E108" s="123"/>
      <c r="F108" s="123"/>
      <c r="G108" s="530"/>
    </row>
    <row r="109" spans="1:7" ht="11.25">
      <c r="A109" s="510"/>
      <c r="B109" s="305" t="s">
        <v>477</v>
      </c>
      <c r="C109" s="123"/>
      <c r="D109" s="123"/>
      <c r="E109" s="123"/>
      <c r="F109" s="123"/>
      <c r="G109" s="530"/>
    </row>
    <row r="110" spans="1:7" ht="11.25">
      <c r="A110" s="510"/>
      <c r="B110" s="305" t="s">
        <v>478</v>
      </c>
      <c r="C110" s="123"/>
      <c r="D110" s="123"/>
      <c r="E110" s="123"/>
      <c r="F110" s="123"/>
      <c r="G110" s="530">
        <f>18150/3*2</f>
        <v>12100</v>
      </c>
    </row>
    <row r="111" spans="1:7" ht="11.25">
      <c r="A111" s="510"/>
      <c r="B111" s="305" t="s">
        <v>479</v>
      </c>
      <c r="C111" s="123"/>
      <c r="D111" s="21"/>
      <c r="E111" s="123"/>
      <c r="F111" s="123"/>
      <c r="G111" s="455"/>
    </row>
    <row r="112" spans="1:7" ht="11.25">
      <c r="A112" s="510"/>
      <c r="B112" s="305" t="s">
        <v>480</v>
      </c>
      <c r="C112" s="123"/>
      <c r="D112" s="21"/>
      <c r="E112" s="123"/>
      <c r="F112" s="123"/>
      <c r="G112" s="455"/>
    </row>
    <row r="113" spans="1:7" ht="11.25">
      <c r="A113" s="510"/>
      <c r="B113" s="305" t="s">
        <v>481</v>
      </c>
      <c r="C113" s="123"/>
      <c r="D113" s="21"/>
      <c r="E113" s="123"/>
      <c r="F113" s="123"/>
      <c r="G113" s="530"/>
    </row>
    <row r="114" spans="1:7" ht="11.25">
      <c r="A114" s="510"/>
      <c r="B114" s="305" t="s">
        <v>482</v>
      </c>
      <c r="C114" s="123"/>
      <c r="D114" s="21"/>
      <c r="E114" s="123"/>
      <c r="F114" s="123"/>
      <c r="G114" s="530"/>
    </row>
    <row r="115" spans="1:7" ht="11.25">
      <c r="A115" s="510"/>
      <c r="B115" s="305" t="s">
        <v>483</v>
      </c>
      <c r="C115" s="123"/>
      <c r="D115" s="21"/>
      <c r="E115" s="123"/>
      <c r="F115" s="123"/>
      <c r="G115" s="530"/>
    </row>
    <row r="116" spans="1:7" ht="11.25">
      <c r="A116" s="510"/>
      <c r="B116" s="305" t="s">
        <v>484</v>
      </c>
      <c r="C116" s="123"/>
      <c r="D116" s="21"/>
      <c r="E116" s="123"/>
      <c r="F116" s="123"/>
      <c r="G116" s="530"/>
    </row>
    <row r="117" spans="1:7" ht="11.25">
      <c r="A117" s="510"/>
      <c r="B117" s="305" t="s">
        <v>485</v>
      </c>
      <c r="C117" s="123"/>
      <c r="D117" s="21"/>
      <c r="E117" s="123"/>
      <c r="F117" s="123"/>
      <c r="G117" s="530"/>
    </row>
    <row r="118" spans="1:7" ht="11.25">
      <c r="A118" s="510"/>
      <c r="B118" s="305" t="s">
        <v>486</v>
      </c>
      <c r="C118" s="123"/>
      <c r="D118" s="123"/>
      <c r="E118" s="123"/>
      <c r="F118" s="123"/>
      <c r="G118" s="530"/>
    </row>
    <row r="119" spans="1:7" ht="11.25">
      <c r="A119" s="510"/>
      <c r="B119" s="486" t="s">
        <v>487</v>
      </c>
      <c r="C119" s="300"/>
      <c r="D119" s="315"/>
      <c r="E119" s="301"/>
      <c r="F119" s="301"/>
      <c r="G119" s="534"/>
    </row>
    <row r="120" spans="1:7" ht="11.25">
      <c r="A120" s="510"/>
      <c r="C120" s="535">
        <f>SUM(C17:C119)</f>
        <v>736550.76</v>
      </c>
      <c r="G120" s="535">
        <f>SUM(G17:G119)</f>
        <v>356335.57666666666</v>
      </c>
    </row>
    <row r="121" spans="1:5" ht="11.25">
      <c r="A121" s="510"/>
      <c r="D121" s="536"/>
      <c r="E121" s="406"/>
    </row>
    <row r="122" spans="1:6" ht="11.25">
      <c r="A122" s="510"/>
      <c r="F122" s="406"/>
    </row>
    <row r="127" ht="11.25">
      <c r="E127" s="537"/>
    </row>
    <row r="128" ht="11.25">
      <c r="E128" s="537"/>
    </row>
    <row r="129" ht="11.25">
      <c r="E129" s="537"/>
    </row>
  </sheetData>
  <sheetProtection/>
  <mergeCells count="8">
    <mergeCell ref="X14:Y14"/>
    <mergeCell ref="I14:J14"/>
    <mergeCell ref="B3:K4"/>
    <mergeCell ref="B14:G15"/>
    <mergeCell ref="L14:M14"/>
    <mergeCell ref="O14:P14"/>
    <mergeCell ref="R14:S14"/>
    <mergeCell ref="U14:V14"/>
  </mergeCells>
  <conditionalFormatting sqref="L11">
    <cfRule type="cellIs" priority="13" dxfId="2" operator="greaterThan" stopIfTrue="1">
      <formula>0</formula>
    </cfRule>
    <cfRule type="cellIs" priority="14" dxfId="0" operator="lessThan" stopIfTrue="1">
      <formula>0</formula>
    </cfRule>
  </conditionalFormatting>
  <conditionalFormatting sqref="Y15:Y25 X46:X50 X41:X43 Y27:Y40 U41:U49 V15:V40 R41:R49 S15:S40 O41:O49 P15:P40 L41:L49 M15:M40">
    <cfRule type="cellIs" priority="11" dxfId="0" operator="lessThan" stopIfTrue="1">
      <formula>0</formula>
    </cfRule>
    <cfRule type="cellIs" priority="12" dxfId="2" operator="greaterThan" stopIfTrue="1">
      <formula>0</formula>
    </cfRule>
  </conditionalFormatting>
  <conditionalFormatting sqref="Y26">
    <cfRule type="cellIs" priority="9" dxfId="0" operator="lessThan" stopIfTrue="1">
      <formula>0</formula>
    </cfRule>
    <cfRule type="cellIs" priority="10" dxfId="2" operator="greaterThan" stopIfTrue="1">
      <formula>0</formula>
    </cfRule>
  </conditionalFormatting>
  <conditionalFormatting sqref="J15:J40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T37"/>
  <sheetViews>
    <sheetView zoomScalePageLayoutView="0" workbookViewId="0" topLeftCell="A1">
      <selection activeCell="G7" sqref="G7"/>
    </sheetView>
  </sheetViews>
  <sheetFormatPr defaultColWidth="11.421875" defaultRowHeight="12.75"/>
  <cols>
    <col min="2" max="2" width="20.57421875" style="0" customWidth="1"/>
    <col min="3" max="3" width="16.140625" style="0" customWidth="1"/>
    <col min="4" max="4" width="13.421875" style="0" customWidth="1"/>
    <col min="7" max="7" width="14.28125" style="0" customWidth="1"/>
    <col min="8" max="8" width="13.57421875" style="0" customWidth="1"/>
  </cols>
  <sheetData>
    <row r="3" spans="2:8" ht="12.75">
      <c r="B3" s="595" t="s">
        <v>362</v>
      </c>
      <c r="C3" s="596"/>
      <c r="D3" s="596"/>
      <c r="E3" s="596"/>
      <c r="F3" s="596"/>
      <c r="G3" s="596"/>
      <c r="H3" s="597"/>
    </row>
    <row r="4" spans="2:8" ht="12.75">
      <c r="B4" s="601"/>
      <c r="C4" s="602"/>
      <c r="D4" s="602"/>
      <c r="E4" s="602"/>
      <c r="F4" s="602"/>
      <c r="G4" s="602"/>
      <c r="H4" s="603"/>
    </row>
    <row r="5" spans="2:8" ht="12.75">
      <c r="B5" s="481"/>
      <c r="C5" s="482"/>
      <c r="D5" s="482"/>
      <c r="E5" s="482"/>
      <c r="F5" s="482"/>
      <c r="G5" s="482"/>
      <c r="H5" s="320"/>
    </row>
    <row r="6" spans="2:8" ht="12.75">
      <c r="B6" s="413" t="s">
        <v>300</v>
      </c>
      <c r="C6" s="414" t="s">
        <v>301</v>
      </c>
      <c r="D6" s="414" t="s">
        <v>302</v>
      </c>
      <c r="E6" s="414" t="s">
        <v>363</v>
      </c>
      <c r="F6" s="415" t="s">
        <v>364</v>
      </c>
      <c r="G6" s="415" t="s">
        <v>303</v>
      </c>
      <c r="H6" s="483" t="s">
        <v>365</v>
      </c>
    </row>
    <row r="7" spans="2:8" ht="12.75">
      <c r="B7" s="420">
        <v>402805</v>
      </c>
      <c r="C7" s="420">
        <f>D7-B7</f>
        <v>609473</v>
      </c>
      <c r="D7" s="420">
        <v>1012278</v>
      </c>
      <c r="E7" s="421"/>
      <c r="F7" s="421"/>
      <c r="G7" s="484">
        <v>670877.6</v>
      </c>
      <c r="H7" s="485">
        <f>D7-E7-F7-G7</f>
        <v>341400.4</v>
      </c>
    </row>
    <row r="8" spans="2:8" ht="12.75">
      <c r="B8" s="305"/>
      <c r="C8" s="21"/>
      <c r="D8" s="21"/>
      <c r="E8" s="21"/>
      <c r="F8" s="21"/>
      <c r="G8" s="21"/>
      <c r="H8" s="321"/>
    </row>
    <row r="9" spans="2:8" ht="12.75">
      <c r="B9" s="486"/>
      <c r="C9" s="487">
        <v>0.028</v>
      </c>
      <c r="D9" s="301"/>
      <c r="E9" s="301"/>
      <c r="F9" s="301"/>
      <c r="G9" s="301"/>
      <c r="H9" s="316"/>
    </row>
    <row r="10" spans="2:8" ht="33.75">
      <c r="B10" s="413" t="s">
        <v>382</v>
      </c>
      <c r="C10" s="415" t="s">
        <v>383</v>
      </c>
      <c r="D10" s="414" t="s">
        <v>384</v>
      </c>
      <c r="E10" s="414" t="s">
        <v>366</v>
      </c>
      <c r="F10" s="414" t="s">
        <v>367</v>
      </c>
      <c r="G10" s="414" t="s">
        <v>368</v>
      </c>
      <c r="H10" s="483" t="s">
        <v>316</v>
      </c>
    </row>
    <row r="11" spans="2:8" ht="12.75">
      <c r="B11" s="420">
        <v>349949.97</v>
      </c>
      <c r="C11" s="421">
        <f>B11*C9</f>
        <v>9798.59916</v>
      </c>
      <c r="D11" s="484">
        <f>B11+C11</f>
        <v>359748.56915999996</v>
      </c>
      <c r="E11" s="421"/>
      <c r="F11" s="421">
        <f>D11</f>
        <v>359748.56915999996</v>
      </c>
      <c r="G11" s="484">
        <f>G7+F7+E7-E11</f>
        <v>670877.6</v>
      </c>
      <c r="H11" s="485">
        <f>D11-G11</f>
        <v>-311129.03084</v>
      </c>
    </row>
    <row r="12" spans="2:8" ht="12.75">
      <c r="B12" s="407"/>
      <c r="C12" s="407"/>
      <c r="D12" s="407"/>
      <c r="E12" s="407"/>
      <c r="F12" s="407"/>
      <c r="G12" s="407"/>
      <c r="H12" s="407"/>
    </row>
    <row r="13" spans="2:8" ht="12.75">
      <c r="B13" s="407"/>
      <c r="C13" s="407"/>
      <c r="D13" s="407"/>
      <c r="E13" s="407"/>
      <c r="F13" s="407"/>
      <c r="G13" s="407"/>
      <c r="H13" s="407"/>
    </row>
    <row r="14" spans="2:8" ht="12.75">
      <c r="B14" s="407"/>
      <c r="C14" s="407"/>
      <c r="D14" s="407"/>
      <c r="E14" s="407"/>
      <c r="F14" s="407"/>
      <c r="G14" s="407"/>
      <c r="H14" s="407"/>
    </row>
    <row r="15" spans="2:20" ht="12.75">
      <c r="B15" s="595" t="s">
        <v>369</v>
      </c>
      <c r="C15" s="596"/>
      <c r="D15" s="596"/>
      <c r="E15" s="597"/>
      <c r="F15" s="407"/>
      <c r="G15" s="593" t="s">
        <v>358</v>
      </c>
      <c r="H15" s="594"/>
      <c r="I15" s="407"/>
      <c r="J15" s="593" t="s">
        <v>318</v>
      </c>
      <c r="K15" s="594"/>
      <c r="L15" s="407"/>
      <c r="M15" s="593" t="s">
        <v>317</v>
      </c>
      <c r="N15" s="594"/>
      <c r="P15" s="593" t="s">
        <v>337</v>
      </c>
      <c r="Q15" s="594"/>
      <c r="S15" s="593" t="s">
        <v>346</v>
      </c>
      <c r="T15" s="594"/>
    </row>
    <row r="16" spans="2:20" ht="12.75">
      <c r="B16" s="601"/>
      <c r="C16" s="602"/>
      <c r="D16" s="602"/>
      <c r="E16" s="603"/>
      <c r="F16" s="407"/>
      <c r="G16" s="441">
        <v>44062</v>
      </c>
      <c r="H16" s="442">
        <v>-674407.08084</v>
      </c>
      <c r="I16" s="407"/>
      <c r="J16" s="441">
        <v>43717</v>
      </c>
      <c r="K16" s="442">
        <v>-93419.7</v>
      </c>
      <c r="L16" s="407"/>
      <c r="M16" s="441">
        <v>43362</v>
      </c>
      <c r="N16" s="442">
        <v>-112782.42</v>
      </c>
      <c r="P16" s="441">
        <v>42830</v>
      </c>
      <c r="Q16" s="442">
        <v>-134579.1</v>
      </c>
      <c r="S16" s="441">
        <v>42473</v>
      </c>
      <c r="T16" s="442">
        <v>-55854.88</v>
      </c>
    </row>
    <row r="17" spans="2:20" ht="12.75">
      <c r="B17" s="595" t="s">
        <v>370</v>
      </c>
      <c r="C17" s="596"/>
      <c r="D17" s="488" t="s">
        <v>371</v>
      </c>
      <c r="E17" s="489" t="s">
        <v>372</v>
      </c>
      <c r="F17" s="407"/>
      <c r="G17" s="444">
        <v>44087</v>
      </c>
      <c r="H17" s="445">
        <v>-674407.08</v>
      </c>
      <c r="I17" s="407"/>
      <c r="J17" s="444">
        <v>43748</v>
      </c>
      <c r="K17" s="445">
        <v>-86495.62</v>
      </c>
      <c r="L17" s="407"/>
      <c r="M17" s="444">
        <v>43390</v>
      </c>
      <c r="N17" s="445">
        <v>-101946.06</v>
      </c>
      <c r="P17" s="444">
        <v>42884</v>
      </c>
      <c r="Q17" s="445">
        <v>-132999.1</v>
      </c>
      <c r="S17" s="444">
        <v>42508</v>
      </c>
      <c r="T17" s="445">
        <v>15393.44</v>
      </c>
    </row>
    <row r="18" spans="2:20" ht="12.75">
      <c r="B18" s="604" t="s">
        <v>373</v>
      </c>
      <c r="C18" s="605"/>
      <c r="D18" s="482"/>
      <c r="E18" s="453"/>
      <c r="F18" s="407"/>
      <c r="G18" s="444">
        <v>44111</v>
      </c>
      <c r="H18" s="445">
        <f>-688377.07</f>
        <v>-688377.07</v>
      </c>
      <c r="I18" s="407"/>
      <c r="J18" s="444">
        <v>43779</v>
      </c>
      <c r="K18" s="445">
        <v>-64601.02</v>
      </c>
      <c r="L18" s="407"/>
      <c r="M18" s="444">
        <v>43412</v>
      </c>
      <c r="N18" s="445">
        <v>-101947.41</v>
      </c>
      <c r="P18" s="444">
        <v>42908</v>
      </c>
      <c r="Q18" s="445">
        <v>-134999.1</v>
      </c>
      <c r="S18" s="444">
        <v>42535</v>
      </c>
      <c r="T18" s="445">
        <v>677.12</v>
      </c>
    </row>
    <row r="19" spans="2:20" ht="12.75">
      <c r="B19" s="305" t="s">
        <v>386</v>
      </c>
      <c r="C19" s="21"/>
      <c r="D19" s="21"/>
      <c r="E19" s="445"/>
      <c r="F19" s="407"/>
      <c r="G19" s="444">
        <v>44130</v>
      </c>
      <c r="H19" s="445">
        <v>-313377.07</v>
      </c>
      <c r="I19" s="407"/>
      <c r="J19" s="444">
        <v>43787</v>
      </c>
      <c r="K19" s="445">
        <v>-70609.96</v>
      </c>
      <c r="L19" s="407"/>
      <c r="M19" s="444">
        <v>43430</v>
      </c>
      <c r="N19" s="445">
        <v>-101946.66</v>
      </c>
      <c r="P19" s="444">
        <v>42920</v>
      </c>
      <c r="Q19" s="445">
        <v>-134633.36</v>
      </c>
      <c r="S19" s="444">
        <v>42573</v>
      </c>
      <c r="T19" s="445">
        <v>-85501</v>
      </c>
    </row>
    <row r="20" spans="2:20" ht="12.75">
      <c r="B20" s="305" t="s">
        <v>374</v>
      </c>
      <c r="C20" s="21"/>
      <c r="D20" s="21"/>
      <c r="E20" s="445">
        <v>5760</v>
      </c>
      <c r="F20" s="407"/>
      <c r="G20" s="444">
        <v>44174</v>
      </c>
      <c r="H20" s="445">
        <v>-169201.3</v>
      </c>
      <c r="I20" s="407"/>
      <c r="J20" s="444">
        <v>43795</v>
      </c>
      <c r="K20" s="445">
        <v>-90573.2</v>
      </c>
      <c r="L20" s="407"/>
      <c r="M20" s="444">
        <v>43444</v>
      </c>
      <c r="N20" s="445">
        <v>-101946.06</v>
      </c>
      <c r="P20" s="444">
        <v>42969</v>
      </c>
      <c r="Q20" s="445">
        <v>-116395.77</v>
      </c>
      <c r="S20" s="444">
        <v>42629</v>
      </c>
      <c r="T20" s="445">
        <v>-87939.44</v>
      </c>
    </row>
    <row r="21" spans="2:20" ht="12.75">
      <c r="B21" s="305" t="s">
        <v>375</v>
      </c>
      <c r="C21" s="21"/>
      <c r="D21" s="21"/>
      <c r="E21" s="445"/>
      <c r="F21" s="407"/>
      <c r="G21" s="444">
        <v>44186</v>
      </c>
      <c r="H21" s="445">
        <v>-326201.3</v>
      </c>
      <c r="I21" s="407"/>
      <c r="J21" s="444">
        <v>43809</v>
      </c>
      <c r="K21" s="445">
        <v>-90573.2</v>
      </c>
      <c r="L21" s="407"/>
      <c r="M21" s="444">
        <v>43468</v>
      </c>
      <c r="N21" s="445">
        <v>-49008.87</v>
      </c>
      <c r="P21" s="444">
        <v>42985</v>
      </c>
      <c r="Q21" s="445">
        <v>-67295.75</v>
      </c>
      <c r="S21" s="444">
        <v>42648</v>
      </c>
      <c r="T21" s="445">
        <v>-28239.86</v>
      </c>
    </row>
    <row r="22" spans="2:20" ht="12.75">
      <c r="B22" s="305" t="s">
        <v>376</v>
      </c>
      <c r="C22" s="21"/>
      <c r="D22" s="21"/>
      <c r="E22" s="445"/>
      <c r="F22" s="407"/>
      <c r="G22" s="444">
        <v>44200</v>
      </c>
      <c r="H22" s="445">
        <v>-311129.03</v>
      </c>
      <c r="I22" s="407"/>
      <c r="J22" s="444">
        <v>43810</v>
      </c>
      <c r="K22" s="445">
        <v>-73846.77</v>
      </c>
      <c r="L22" s="407"/>
      <c r="M22" s="444"/>
      <c r="N22" s="445"/>
      <c r="P22" s="444">
        <v>42990</v>
      </c>
      <c r="Q22" s="445">
        <v>-58457.75</v>
      </c>
      <c r="S22" s="444">
        <v>42657</v>
      </c>
      <c r="T22" s="445">
        <v>-25119.86</v>
      </c>
    </row>
    <row r="23" spans="2:20" ht="12.75">
      <c r="B23" s="305" t="s">
        <v>385</v>
      </c>
      <c r="C23" s="21"/>
      <c r="D23" s="21"/>
      <c r="E23" s="445">
        <v>90000</v>
      </c>
      <c r="G23" s="444"/>
      <c r="H23" s="445"/>
      <c r="J23" s="444">
        <v>43818</v>
      </c>
      <c r="K23" s="445">
        <v>-24235.84</v>
      </c>
      <c r="M23" s="444"/>
      <c r="N23" s="445"/>
      <c r="P23" s="444">
        <v>43005</v>
      </c>
      <c r="Q23" s="445">
        <v>-54533.75</v>
      </c>
      <c r="S23" s="444">
        <v>42682</v>
      </c>
      <c r="T23" s="445">
        <v>-32781.44</v>
      </c>
    </row>
    <row r="24" spans="2:20" ht="12.75">
      <c r="B24" s="305" t="s">
        <v>377</v>
      </c>
      <c r="C24" s="21"/>
      <c r="D24" s="21"/>
      <c r="E24" s="445"/>
      <c r="G24" s="444"/>
      <c r="H24" s="445"/>
      <c r="J24" s="444">
        <v>43819</v>
      </c>
      <c r="K24" s="445">
        <v>-54592.84</v>
      </c>
      <c r="M24" s="444"/>
      <c r="N24" s="445"/>
      <c r="P24" s="444">
        <v>43031</v>
      </c>
      <c r="Q24" s="445">
        <v>-54533.9</v>
      </c>
      <c r="S24" s="444">
        <v>42705</v>
      </c>
      <c r="T24" s="445">
        <v>-38281.44</v>
      </c>
    </row>
    <row r="25" spans="2:20" ht="12.75">
      <c r="B25" s="305" t="s">
        <v>378</v>
      </c>
      <c r="C25" s="21"/>
      <c r="D25" s="21"/>
      <c r="E25" s="445"/>
      <c r="G25" s="444"/>
      <c r="H25" s="445"/>
      <c r="J25" s="444">
        <v>43468</v>
      </c>
      <c r="K25" s="445">
        <v>-63842.84</v>
      </c>
      <c r="M25" s="444"/>
      <c r="N25" s="445"/>
      <c r="P25" s="444"/>
      <c r="Q25" s="445"/>
      <c r="S25" s="444">
        <v>42716</v>
      </c>
      <c r="T25" s="445">
        <v>-39029.44</v>
      </c>
    </row>
    <row r="26" spans="2:20" ht="12.75">
      <c r="B26" s="305" t="s">
        <v>379</v>
      </c>
      <c r="C26" s="21"/>
      <c r="D26" s="21"/>
      <c r="E26" s="445"/>
      <c r="G26" s="444"/>
      <c r="H26" s="445"/>
      <c r="J26" s="444"/>
      <c r="K26" s="445"/>
      <c r="M26" s="444"/>
      <c r="N26" s="445"/>
      <c r="P26" s="444"/>
      <c r="Q26" s="445"/>
      <c r="S26" s="444">
        <v>42726</v>
      </c>
      <c r="T26" s="445">
        <v>38257.12</v>
      </c>
    </row>
    <row r="27" spans="2:20" ht="12.75">
      <c r="B27" s="305" t="s">
        <v>380</v>
      </c>
      <c r="C27" s="21"/>
      <c r="D27" s="21"/>
      <c r="E27" s="445"/>
      <c r="G27" s="444"/>
      <c r="H27" s="445"/>
      <c r="J27" s="444"/>
      <c r="K27" s="445"/>
      <c r="M27" s="444"/>
      <c r="N27" s="445"/>
      <c r="P27" s="444"/>
      <c r="Q27" s="445"/>
      <c r="S27" s="444">
        <v>42738</v>
      </c>
      <c r="T27" s="445">
        <v>-21626.39</v>
      </c>
    </row>
    <row r="28" spans="2:20" ht="12.75">
      <c r="B28" s="486" t="s">
        <v>381</v>
      </c>
      <c r="C28" s="301"/>
      <c r="D28" s="301"/>
      <c r="E28" s="445"/>
      <c r="G28" s="444"/>
      <c r="H28" s="445"/>
      <c r="J28" s="444"/>
      <c r="K28" s="445"/>
      <c r="M28" s="444"/>
      <c r="N28" s="445"/>
      <c r="P28" s="444"/>
      <c r="Q28" s="445"/>
      <c r="S28" s="444"/>
      <c r="T28" s="445"/>
    </row>
    <row r="29" spans="2:20" ht="12.75">
      <c r="B29" s="407"/>
      <c r="C29" s="407"/>
      <c r="D29" s="407"/>
      <c r="E29" s="491">
        <f>SUM(E18:E28)</f>
        <v>95760</v>
      </c>
      <c r="G29" s="444"/>
      <c r="H29" s="445"/>
      <c r="J29" s="444"/>
      <c r="K29" s="445"/>
      <c r="M29" s="444"/>
      <c r="N29" s="445"/>
      <c r="P29" s="444"/>
      <c r="Q29" s="445"/>
      <c r="S29" s="444"/>
      <c r="T29" s="445"/>
    </row>
    <row r="30" spans="7:20" ht="12.75">
      <c r="G30" s="444"/>
      <c r="H30" s="445"/>
      <c r="J30" s="444"/>
      <c r="K30" s="445"/>
      <c r="M30" s="444"/>
      <c r="N30" s="445"/>
      <c r="P30" s="444"/>
      <c r="Q30" s="445"/>
      <c r="S30" s="444"/>
      <c r="T30" s="445"/>
    </row>
    <row r="31" spans="7:20" ht="12.75">
      <c r="G31" s="444"/>
      <c r="H31" s="445"/>
      <c r="J31" s="444"/>
      <c r="K31" s="445"/>
      <c r="M31" s="444"/>
      <c r="N31" s="445"/>
      <c r="P31" s="444"/>
      <c r="Q31" s="445"/>
      <c r="S31" s="444"/>
      <c r="T31" s="445"/>
    </row>
    <row r="32" spans="7:20" ht="12.75">
      <c r="G32" s="444"/>
      <c r="H32" s="445"/>
      <c r="J32" s="444"/>
      <c r="K32" s="445"/>
      <c r="M32" s="444"/>
      <c r="N32" s="445"/>
      <c r="P32" s="444"/>
      <c r="Q32" s="445"/>
      <c r="S32" s="444"/>
      <c r="T32" s="445"/>
    </row>
    <row r="33" spans="7:20" ht="12.75">
      <c r="G33" s="444"/>
      <c r="H33" s="445"/>
      <c r="J33" s="444"/>
      <c r="K33" s="445"/>
      <c r="M33" s="444"/>
      <c r="N33" s="445"/>
      <c r="P33" s="444"/>
      <c r="Q33" s="445"/>
      <c r="S33" s="444"/>
      <c r="T33" s="445"/>
    </row>
    <row r="34" spans="7:20" ht="12.75">
      <c r="G34" s="444"/>
      <c r="H34" s="445"/>
      <c r="J34" s="444"/>
      <c r="K34" s="445"/>
      <c r="M34" s="444"/>
      <c r="N34" s="445"/>
      <c r="P34" s="444"/>
      <c r="Q34" s="445"/>
      <c r="S34" s="444"/>
      <c r="T34" s="445"/>
    </row>
    <row r="35" spans="7:20" ht="12.75">
      <c r="G35" s="444"/>
      <c r="H35" s="445"/>
      <c r="J35" s="444"/>
      <c r="K35" s="445"/>
      <c r="M35" s="444"/>
      <c r="N35" s="445"/>
      <c r="P35" s="444"/>
      <c r="Q35" s="445"/>
      <c r="S35" s="444"/>
      <c r="T35" s="445"/>
    </row>
    <row r="36" spans="7:20" ht="12.75">
      <c r="G36" s="444"/>
      <c r="H36" s="445"/>
      <c r="J36" s="444"/>
      <c r="K36" s="445"/>
      <c r="M36" s="444"/>
      <c r="N36" s="445"/>
      <c r="P36" s="444"/>
      <c r="Q36" s="445"/>
      <c r="S36" s="444"/>
      <c r="T36" s="445"/>
    </row>
    <row r="37" spans="7:20" ht="12.75">
      <c r="G37" s="456"/>
      <c r="H37" s="316"/>
      <c r="J37" s="456"/>
      <c r="K37" s="316"/>
      <c r="M37" s="456"/>
      <c r="N37" s="316"/>
      <c r="P37" s="456"/>
      <c r="Q37" s="316"/>
      <c r="S37" s="456"/>
      <c r="T37" s="316"/>
    </row>
  </sheetData>
  <sheetProtection/>
  <mergeCells count="9">
    <mergeCell ref="B17:C17"/>
    <mergeCell ref="B18:C18"/>
    <mergeCell ref="G15:H15"/>
    <mergeCell ref="B3:H4"/>
    <mergeCell ref="B15:E16"/>
    <mergeCell ref="J15:K15"/>
    <mergeCell ref="M15:N15"/>
    <mergeCell ref="P15:Q15"/>
    <mergeCell ref="S15:T15"/>
  </mergeCells>
  <conditionalFormatting sqref="H11">
    <cfRule type="cellIs" priority="21" dxfId="2" operator="greaterThan" stopIfTrue="1">
      <formula>0</formula>
    </cfRule>
    <cfRule type="cellIs" priority="22" dxfId="0" operator="lessThan" stopIfTrue="1">
      <formula>0</formula>
    </cfRule>
  </conditionalFormatting>
  <conditionalFormatting sqref="T16:T32">
    <cfRule type="cellIs" priority="19" dxfId="0" operator="lessThan" stopIfTrue="1">
      <formula>0</formula>
    </cfRule>
    <cfRule type="cellIs" priority="20" dxfId="2" operator="greaterThan" stopIfTrue="1">
      <formula>0</formula>
    </cfRule>
  </conditionalFormatting>
  <conditionalFormatting sqref="T33:T36">
    <cfRule type="cellIs" priority="17" dxfId="0" operator="lessThan" stopIfTrue="1">
      <formula>0</formula>
    </cfRule>
    <cfRule type="cellIs" priority="18" dxfId="2" operator="greaterThan" stopIfTrue="1">
      <formula>0</formula>
    </cfRule>
  </conditionalFormatting>
  <conditionalFormatting sqref="Q16:Q32">
    <cfRule type="cellIs" priority="15" dxfId="0" operator="lessThan" stopIfTrue="1">
      <formula>0</formula>
    </cfRule>
    <cfRule type="cellIs" priority="16" dxfId="2" operator="greaterThan" stopIfTrue="1">
      <formula>0</formula>
    </cfRule>
  </conditionalFormatting>
  <conditionalFormatting sqref="Q33:Q36">
    <cfRule type="cellIs" priority="13" dxfId="0" operator="lessThan" stopIfTrue="1">
      <formula>0</formula>
    </cfRule>
    <cfRule type="cellIs" priority="14" dxfId="2" operator="greaterThan" stopIfTrue="1">
      <formula>0</formula>
    </cfRule>
  </conditionalFormatting>
  <conditionalFormatting sqref="N16:N32">
    <cfRule type="cellIs" priority="11" dxfId="0" operator="lessThan" stopIfTrue="1">
      <formula>0</formula>
    </cfRule>
    <cfRule type="cellIs" priority="12" dxfId="2" operator="greaterThan" stopIfTrue="1">
      <formula>0</formula>
    </cfRule>
  </conditionalFormatting>
  <conditionalFormatting sqref="N33:N36">
    <cfRule type="cellIs" priority="9" dxfId="0" operator="lessThan" stopIfTrue="1">
      <formula>0</formula>
    </cfRule>
    <cfRule type="cellIs" priority="10" dxfId="2" operator="greaterThan" stopIfTrue="1">
      <formula>0</formula>
    </cfRule>
  </conditionalFormatting>
  <conditionalFormatting sqref="K16:K32">
    <cfRule type="cellIs" priority="7" dxfId="0" operator="lessThan" stopIfTrue="1">
      <formula>0</formula>
    </cfRule>
    <cfRule type="cellIs" priority="8" dxfId="2" operator="greaterThan" stopIfTrue="1">
      <formula>0</formula>
    </cfRule>
  </conditionalFormatting>
  <conditionalFormatting sqref="K33:K36">
    <cfRule type="cellIs" priority="5" dxfId="0" operator="lessThan" stopIfTrue="1">
      <formula>0</formula>
    </cfRule>
    <cfRule type="cellIs" priority="6" dxfId="2" operator="greaterThan" stopIfTrue="1">
      <formula>0</formula>
    </cfRule>
  </conditionalFormatting>
  <conditionalFormatting sqref="H16:H32">
    <cfRule type="cellIs" priority="3" dxfId="0" operator="lessThan" stopIfTrue="1">
      <formula>0</formula>
    </cfRule>
    <cfRule type="cellIs" priority="4" dxfId="2" operator="greaterThan" stopIfTrue="1">
      <formula>0</formula>
    </cfRule>
  </conditionalFormatting>
  <conditionalFormatting sqref="H33:H36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mlopez</cp:lastModifiedBy>
  <cp:lastPrinted>2020-07-27T11:30:52Z</cp:lastPrinted>
  <dcterms:created xsi:type="dcterms:W3CDTF">1996-11-27T10:00:04Z</dcterms:created>
  <dcterms:modified xsi:type="dcterms:W3CDTF">2021-06-03T12:55:45Z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